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andlerbruns/Desktop/"/>
    </mc:Choice>
  </mc:AlternateContent>
  <xr:revisionPtr revIDLastSave="0" documentId="8_{19C7D6D7-3B77-4D4C-89D5-D06C54DBC0CF}" xr6:coauthVersionLast="45" xr6:coauthVersionMax="45" xr10:uidLastSave="{00000000-0000-0000-0000-000000000000}"/>
  <workbookProtection lockStructure="1"/>
  <bookViews>
    <workbookView xWindow="880" yWindow="460" windowWidth="25600" windowHeight="16060" tabRatio="500" activeTab="5" xr2:uid="{00000000-000D-0000-FFFF-FFFF00000000}"/>
  </bookViews>
  <sheets>
    <sheet name="Sheet1" sheetId="1" r:id="rId1"/>
    <sheet name="NIPTS (final)" sheetId="2" r:id="rId2"/>
    <sheet name="NIPTS (initial)" sheetId="4" r:id="rId3"/>
    <sheet name="ARHL (final)" sheetId="3" r:id="rId4"/>
    <sheet name="ARHL (initial)" sheetId="5" r:id="rId5"/>
    <sheet name="ARHL2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5" l="1"/>
  <c r="G9" i="5"/>
  <c r="B9" i="3"/>
  <c r="G9" i="3"/>
  <c r="G9" i="4"/>
  <c r="G9" i="2"/>
  <c r="G8" i="4"/>
  <c r="G8" i="2"/>
  <c r="B29" i="2" s="1"/>
  <c r="B28" i="2"/>
  <c r="C28" i="2" s="1"/>
  <c r="D28" i="2" s="1"/>
  <c r="B29" i="4"/>
  <c r="C29" i="4"/>
  <c r="D29" i="4" s="1"/>
  <c r="B28" i="4"/>
  <c r="C28" i="4" s="1"/>
  <c r="B8" i="3"/>
  <c r="G8" i="3" s="1"/>
  <c r="F23" i="1"/>
  <c r="B8" i="5"/>
  <c r="G8" i="5"/>
  <c r="F22" i="1"/>
  <c r="B17" i="1" s="1"/>
  <c r="P43" i="5"/>
  <c r="O43" i="5"/>
  <c r="M43" i="5"/>
  <c r="L43" i="5"/>
  <c r="J43" i="5"/>
  <c r="I43" i="5"/>
  <c r="G43" i="5"/>
  <c r="F43" i="5"/>
  <c r="D43" i="5"/>
  <c r="C43" i="5"/>
  <c r="P42" i="5"/>
  <c r="O42" i="5"/>
  <c r="M42" i="5"/>
  <c r="L42" i="5"/>
  <c r="J42" i="5"/>
  <c r="I42" i="5"/>
  <c r="G42" i="5"/>
  <c r="F42" i="5"/>
  <c r="D42" i="5"/>
  <c r="C42" i="5"/>
  <c r="P39" i="5"/>
  <c r="O39" i="5"/>
  <c r="M39" i="5"/>
  <c r="L39" i="5"/>
  <c r="J39" i="5"/>
  <c r="I39" i="5"/>
  <c r="G39" i="5"/>
  <c r="F39" i="5"/>
  <c r="D39" i="5"/>
  <c r="C39" i="5"/>
  <c r="P38" i="5"/>
  <c r="O38" i="5"/>
  <c r="M38" i="5"/>
  <c r="L38" i="5"/>
  <c r="J38" i="5"/>
  <c r="I38" i="5"/>
  <c r="G38" i="5"/>
  <c r="F38" i="5"/>
  <c r="D38" i="5"/>
  <c r="C38" i="5"/>
  <c r="H9" i="5"/>
  <c r="E9" i="5"/>
  <c r="D9" i="5"/>
  <c r="H8" i="5"/>
  <c r="E8" i="5"/>
  <c r="D8" i="5"/>
  <c r="C31" i="4"/>
  <c r="C32" i="4" s="1"/>
  <c r="B31" i="4"/>
  <c r="B32" i="4"/>
  <c r="B45" i="4" s="1"/>
  <c r="B35" i="4"/>
  <c r="P43" i="3"/>
  <c r="O43" i="3"/>
  <c r="M43" i="3"/>
  <c r="L43" i="3"/>
  <c r="J43" i="3"/>
  <c r="I43" i="3"/>
  <c r="G43" i="3"/>
  <c r="F43" i="3"/>
  <c r="D43" i="3"/>
  <c r="C43" i="3"/>
  <c r="P42" i="3"/>
  <c r="O42" i="3"/>
  <c r="M42" i="3"/>
  <c r="L42" i="3"/>
  <c r="J42" i="3"/>
  <c r="I42" i="3"/>
  <c r="G42" i="3"/>
  <c r="F42" i="3"/>
  <c r="D42" i="3"/>
  <c r="C42" i="3"/>
  <c r="P39" i="3"/>
  <c r="O39" i="3"/>
  <c r="M39" i="3"/>
  <c r="L39" i="3"/>
  <c r="J39" i="3"/>
  <c r="I39" i="3"/>
  <c r="G39" i="3"/>
  <c r="F39" i="3"/>
  <c r="D39" i="3"/>
  <c r="C39" i="3"/>
  <c r="P38" i="3"/>
  <c r="O38" i="3"/>
  <c r="M38" i="3"/>
  <c r="L38" i="3"/>
  <c r="J38" i="3"/>
  <c r="I38" i="3"/>
  <c r="G38" i="3"/>
  <c r="F38" i="3"/>
  <c r="D38" i="3"/>
  <c r="C38" i="3"/>
  <c r="H9" i="3"/>
  <c r="E9" i="3"/>
  <c r="D9" i="3"/>
  <c r="H8" i="3"/>
  <c r="E8" i="3"/>
  <c r="D8" i="3"/>
  <c r="B44" i="4" l="1"/>
  <c r="B46" i="4" s="1"/>
  <c r="B36" i="4"/>
  <c r="D28" i="4"/>
  <c r="C33" i="4"/>
  <c r="C41" i="4"/>
  <c r="B31" i="2"/>
  <c r="B32" i="2" s="1"/>
  <c r="C29" i="2"/>
  <c r="D31" i="4"/>
  <c r="D32" i="4" s="1"/>
  <c r="E29" i="4"/>
  <c r="C35" i="4"/>
  <c r="C45" i="4"/>
  <c r="E28" i="2"/>
  <c r="B41" i="4"/>
  <c r="B33" i="4"/>
  <c r="D45" i="4" l="1"/>
  <c r="D35" i="4"/>
  <c r="C18" i="4"/>
  <c r="C42" i="4"/>
  <c r="C19" i="4" s="1"/>
  <c r="F28" i="2"/>
  <c r="C31" i="2"/>
  <c r="C32" i="2"/>
  <c r="D29" i="2"/>
  <c r="E28" i="4"/>
  <c r="D33" i="4"/>
  <c r="D41" i="4"/>
  <c r="F29" i="4"/>
  <c r="E31" i="4"/>
  <c r="E32" i="4" s="1"/>
  <c r="B35" i="2"/>
  <c r="B45" i="2"/>
  <c r="B33" i="2"/>
  <c r="B41" i="2"/>
  <c r="C36" i="4"/>
  <c r="C44" i="4"/>
  <c r="C46" i="4" s="1"/>
  <c r="B42" i="4"/>
  <c r="B19" i="4" s="1"/>
  <c r="B18" i="4"/>
  <c r="E45" i="4" l="1"/>
  <c r="E35" i="4"/>
  <c r="B42" i="2"/>
  <c r="B19" i="2" s="1"/>
  <c r="B18" i="2"/>
  <c r="F31" i="4"/>
  <c r="F32" i="4" s="1"/>
  <c r="G29" i="4"/>
  <c r="F28" i="4"/>
  <c r="E41" i="4"/>
  <c r="E33" i="4"/>
  <c r="D42" i="4"/>
  <c r="D19" i="4" s="1"/>
  <c r="D18" i="4"/>
  <c r="E29" i="2"/>
  <c r="D31" i="2"/>
  <c r="D32" i="2" s="1"/>
  <c r="G28" i="2"/>
  <c r="D36" i="4"/>
  <c r="D44" i="4"/>
  <c r="D46" i="4" s="1"/>
  <c r="B44" i="2"/>
  <c r="B46" i="2" s="1"/>
  <c r="B36" i="2"/>
  <c r="C35" i="2"/>
  <c r="C45" i="2"/>
  <c r="C33" i="2"/>
  <c r="C41" i="2"/>
  <c r="D35" i="2" l="1"/>
  <c r="D45" i="2"/>
  <c r="D33" i="2"/>
  <c r="D41" i="2"/>
  <c r="F45" i="4"/>
  <c r="F35" i="4"/>
  <c r="C44" i="2"/>
  <c r="C46" i="2" s="1"/>
  <c r="C36" i="2"/>
  <c r="F29" i="2"/>
  <c r="E31" i="2"/>
  <c r="E32" i="2" s="1"/>
  <c r="E18" i="4"/>
  <c r="I18" i="4" s="1"/>
  <c r="E42" i="4"/>
  <c r="E19" i="4" s="1"/>
  <c r="I19" i="4" s="1"/>
  <c r="C42" i="2"/>
  <c r="C19" i="2" s="1"/>
  <c r="C18" i="2"/>
  <c r="F33" i="4"/>
  <c r="G28" i="4"/>
  <c r="F41" i="4"/>
  <c r="E36" i="4"/>
  <c r="E44" i="4"/>
  <c r="E46" i="4" s="1"/>
  <c r="G31" i="4"/>
  <c r="G32" i="4" s="1"/>
  <c r="E35" i="2" l="1"/>
  <c r="E45" i="2"/>
  <c r="E33" i="2"/>
  <c r="E41" i="2"/>
  <c r="G35" i="4"/>
  <c r="G45" i="4"/>
  <c r="F36" i="4"/>
  <c r="F44" i="4"/>
  <c r="F46" i="4" s="1"/>
  <c r="D42" i="2"/>
  <c r="D19" i="2" s="1"/>
  <c r="D18" i="2"/>
  <c r="G29" i="2"/>
  <c r="F31" i="2"/>
  <c r="F32" i="2" s="1"/>
  <c r="G33" i="4"/>
  <c r="G41" i="4"/>
  <c r="D44" i="2"/>
  <c r="D46" i="2" s="1"/>
  <c r="D36" i="2"/>
  <c r="F42" i="4"/>
  <c r="F19" i="4" s="1"/>
  <c r="J19" i="4" s="1"/>
  <c r="F18" i="4"/>
  <c r="J18" i="4" s="1"/>
  <c r="F24" i="1" s="1"/>
  <c r="F35" i="2" l="1"/>
  <c r="F45" i="2"/>
  <c r="F33" i="2"/>
  <c r="F41" i="2"/>
  <c r="G31" i="2"/>
  <c r="G32" i="2"/>
  <c r="E18" i="2"/>
  <c r="E42" i="2"/>
  <c r="E19" i="2" s="1"/>
  <c r="G18" i="4"/>
  <c r="G42" i="4"/>
  <c r="G19" i="4" s="1"/>
  <c r="I18" i="2"/>
  <c r="I19" i="2"/>
  <c r="G44" i="4"/>
  <c r="G46" i="4" s="1"/>
  <c r="G36" i="4"/>
  <c r="E36" i="2"/>
  <c r="E44" i="2"/>
  <c r="E46" i="2" s="1"/>
  <c r="F42" i="2" l="1"/>
  <c r="F19" i="2" s="1"/>
  <c r="J19" i="2" s="1"/>
  <c r="F18" i="2"/>
  <c r="J18" i="2" s="1"/>
  <c r="F25" i="1" s="1"/>
  <c r="B16" i="1" s="1"/>
  <c r="B18" i="1" s="1"/>
  <c r="G45" i="2"/>
  <c r="G35" i="2"/>
  <c r="G33" i="2"/>
  <c r="G41" i="2"/>
  <c r="F44" i="2"/>
  <c r="F46" i="2" s="1"/>
  <c r="F36" i="2"/>
  <c r="G42" i="2" l="1"/>
  <c r="G19" i="2" s="1"/>
  <c r="G18" i="2"/>
  <c r="G36" i="2"/>
  <c r="G44" i="2"/>
  <c r="G46" i="2" s="1"/>
</calcChain>
</file>

<file path=xl/sharedStrings.xml><?xml version="1.0" encoding="utf-8"?>
<sst xmlns="http://schemas.openxmlformats.org/spreadsheetml/2006/main" count="264" uniqueCount="126">
  <si>
    <t>This calculator estimates the expected "noise-induced permanent threshold shift" (NIPTS) after exposure</t>
  </si>
  <si>
    <t xml:space="preserve">to a specified daily average noise level for a specified duration. To obtain the predicted hearing level, </t>
  </si>
  <si>
    <t>the NIPTS value for a given frequency must be added to the predicted age-related threshold</t>
  </si>
  <si>
    <t xml:space="preserve">(see the ARHL calculator on this website), which will depend on age and sex. </t>
  </si>
  <si>
    <t xml:space="preserve">To use, enter the time-weighted average (up to 100 dBA) in cell G8 (highlighted); </t>
  </si>
  <si>
    <t>then enter the number of years exposed (must be zero to 40 years)  in cell G9 (highlighted);</t>
  </si>
  <si>
    <t>TWA =</t>
  </si>
  <si>
    <t>dBA</t>
  </si>
  <si>
    <t>duration =</t>
  </si>
  <si>
    <t>years</t>
  </si>
  <si>
    <t>The predicted NIPTS values (dB) for frequencies between 0.5 and 6 kHz will appear in the highlighted cells B17-G17</t>
  </si>
  <si>
    <t xml:space="preserve">(for the 50th percentile, or median) and B18-G18 (for the 95th percentile). </t>
  </si>
  <si>
    <t>Cells I17 and I18 show corresponding speech-frequency (0.5, 1, 2, and 3 kHz) pure-tone average values.</t>
  </si>
  <si>
    <t>Cells J17 and J18 show the 2, 3, 4 kHz average used for OSHA standard threshold shift (STS) calcuations.</t>
  </si>
  <si>
    <t>freq (kHz)</t>
  </si>
  <si>
    <t>pta5123</t>
  </si>
  <si>
    <t>pta234</t>
  </si>
  <si>
    <t>50%ileNIPTS</t>
  </si>
  <si>
    <t>95%ileNIPTS</t>
  </si>
  <si>
    <t>Source: ISO-1999 and ANSI S3.44-1996 (international and US standards that are identical for this purpose)</t>
  </si>
  <si>
    <t>Estimated NIPTS values should generally be rounded to the nearest whole number.</t>
  </si>
  <si>
    <t>The cells below this row contain constants and coefficients used to calculate the NIPTS values and can be ignored.</t>
  </si>
  <si>
    <t>To print these results use page setup to select "landscape" rather than "portrait" orientation.</t>
  </si>
  <si>
    <t>u coeff.</t>
  </si>
  <si>
    <t>v coeff.</t>
  </si>
  <si>
    <t>log dur</t>
  </si>
  <si>
    <t>TWA</t>
  </si>
  <si>
    <t>(dBA)</t>
  </si>
  <si>
    <t>L-sub-0</t>
  </si>
  <si>
    <t>"IF" test</t>
  </si>
  <si>
    <t>(is TWA&gt;L0?)</t>
  </si>
  <si>
    <t>TWA-L0</t>
  </si>
  <si>
    <t>mNIPTS</t>
  </si>
  <si>
    <t>(if duration &gt;10 yr)</t>
  </si>
  <si>
    <t>mN10yr</t>
  </si>
  <si>
    <t>(10-yr mNIPTS)</t>
  </si>
  <si>
    <t>(if duration &lt;=10yr)</t>
  </si>
  <si>
    <t>k</t>
  </si>
  <si>
    <t>Xu</t>
  </si>
  <si>
    <t>Yu</t>
  </si>
  <si>
    <t>SDu</t>
  </si>
  <si>
    <t>95%ileN</t>
  </si>
  <si>
    <t>(if dur. &gt;10 yr)</t>
  </si>
  <si>
    <t>95%N10yr</t>
  </si>
  <si>
    <t>SDu10yr</t>
  </si>
  <si>
    <t>(if dur. &lt;= 10yr)</t>
  </si>
  <si>
    <t>Note 1: the 95th %ile NIPTS estimates in row 18 are - as expected - larger than the 90th %ile NIPTS estimates</t>
  </si>
  <si>
    <t>in the tables of ISO-1999 and ANSI S3.44, by a factor of about 10%.</t>
  </si>
  <si>
    <t xml:space="preserve">Note 2:  the calculation of 95%ile NIPTS for duration &lt; 10 years, assuming 0 NIPTS at onset of exposure, </t>
  </si>
  <si>
    <t xml:space="preserve">is not explicitly described in ISO-1999 or ANSI S3.44. Indeed, they seem to use the same </t>
  </si>
  <si>
    <t>formula for SDu regardless of duration. Since this leads to absurd results when D &lt; 1 year (and log D &lt; 0),</t>
  </si>
  <si>
    <t>ISO 1999 (2013) now restricts estimation of non-median NIPTS to D ≥ 1 year.</t>
  </si>
  <si>
    <t>This calculator extends the estimates to D = 0, using the same log formula as for median NIPTS:</t>
  </si>
  <si>
    <t>for D &lt; 10, NIPTS = (10-year NIPTS)*log (D + 1)/log 11</t>
  </si>
  <si>
    <t>(regardless of percentile)</t>
  </si>
  <si>
    <t>The differences are trivial for D ≥ 1 year (always &lt; 0.5 dB)</t>
  </si>
  <si>
    <t>This calculator estimates the expected better-ear speech frequency averages (0.5, 1, 2, and 3 kHz) for a specified age and sex.</t>
  </si>
  <si>
    <t>Enter the age (25 to 74) in cell B7 (male) or B8 (female); the 50th and 95th percentile averages will be highlighted in columns D and E.</t>
  </si>
  <si>
    <t>The 2, 3, 4 kHz averages used in OSHA standard threshold shift calculations are highlighted in columns G and H.</t>
  </si>
  <si>
    <t>This calculator has been updated to include recent NHANES data (Hoffman et al., Ear &amp; Hearing 2010; 31: 725 - 734; and 2012; 33: 437 - 440)</t>
  </si>
  <si>
    <t>Better-ear PTA5123</t>
  </si>
  <si>
    <t>Better-ear PTA234</t>
  </si>
  <si>
    <t>NB: estimates for age &lt; 25 or &gt; 74 are extrapolations,</t>
  </si>
  <si>
    <t>Sex</t>
  </si>
  <si>
    <t>Age</t>
  </si>
  <si>
    <t>median</t>
  </si>
  <si>
    <t>95%ile</t>
  </si>
  <si>
    <t>Median</t>
  </si>
  <si>
    <t>and should be viewed with caution.</t>
  </si>
  <si>
    <t>Male</t>
  </si>
  <si>
    <t>Female</t>
  </si>
  <si>
    <t>The Hoffman et al. data have been incorporated into Annex B of ISO-1999.</t>
  </si>
  <si>
    <t>The results shown above in columns D, E, G, and H are based on quadratic fits to the data tabulated below.</t>
  </si>
  <si>
    <t>The frequency-specific thresholds for 10-year age groups (25-35, 35-45, etc.) are shown below:</t>
  </si>
  <si>
    <t>To see how these values led to the equations for the calculator, see sheet "ARHL2"</t>
  </si>
  <si>
    <t>AGE</t>
  </si>
  <si>
    <t>Freq (kHz)</t>
  </si>
  <si>
    <t>25-34</t>
  </si>
  <si>
    <t>35-44</t>
  </si>
  <si>
    <t>45-54</t>
  </si>
  <si>
    <t>55-64</t>
  </si>
  <si>
    <t>65-74</t>
  </si>
  <si>
    <t>Males</t>
  </si>
  <si>
    <t>Females</t>
  </si>
  <si>
    <t>PTA5123</t>
  </si>
  <si>
    <t>PTA234</t>
  </si>
  <si>
    <t>dBA - TWA</t>
  </si>
  <si>
    <t>Predicted % contribution</t>
  </si>
  <si>
    <t>(the cells below show some of the intermediate steps in the calculation of the results above)</t>
  </si>
  <si>
    <t>Predicted age-related threshold at initial age</t>
  </si>
  <si>
    <t>Predicted age-related threshold at final age</t>
  </si>
  <si>
    <t>Predicted noise induced threshold shift prior to STS interval</t>
  </si>
  <si>
    <t>Prior years exposed</t>
  </si>
  <si>
    <t>Final age</t>
  </si>
  <si>
    <t>Years exposed</t>
  </si>
  <si>
    <t>Initial age</t>
  </si>
  <si>
    <t>Sex (M or F)</t>
  </si>
  <si>
    <t>Predicted noise-induced threshold shift at the end of the STS interval</t>
  </si>
  <si>
    <t>This calculator predicts the relative contributions of occupational noise and aging,</t>
  </si>
  <si>
    <t>Median predicted noise-induced permanent threshold shift during the STS interval</t>
  </si>
  <si>
    <t>Median predicted age-related permanent threshold shift during the STS interval</t>
  </si>
  <si>
    <t>Years of exposure at the TWA level above PRIOR to the baseline or revised baseline audiogram</t>
  </si>
  <si>
    <t>Expected contributions to STS:</t>
  </si>
  <si>
    <t>Predicted Δ NIPTS (dB)</t>
  </si>
  <si>
    <t>Predicted Δ ARPTS (dB)</t>
  </si>
  <si>
    <t>Age at the time of the audiogram on which an STS was found</t>
  </si>
  <si>
    <t>Time-weighted average exposure level</t>
  </si>
  <si>
    <t>Years of exposure at the TWA level above during the STS interval</t>
  </si>
  <si>
    <t>Age at baseline or revised baseline audiogram</t>
  </si>
  <si>
    <t xml:space="preserve"> (The STS interval begins at the baseline or revised baseline audiogram, and ends at the STS audiogram;</t>
  </si>
  <si>
    <t>Results are shown below, highlighted (yellow):</t>
  </si>
  <si>
    <t>This calculator assumes all exposures during the worker's career were at the specified level.</t>
  </si>
  <si>
    <t>When that is not the case, the curve-walking method can be used (see Med-Leg Eval of Hearing Loss, Dobie 2001).</t>
  </si>
  <si>
    <t>Age-related and noise-induced median thresholds are based on ISO 1999 (2013).</t>
  </si>
  <si>
    <t xml:space="preserve"> for the 2, 3, 4 kHz average used for OSHA standard threshold shift determination.</t>
  </si>
  <si>
    <t>Required inputs are shown below (highlighted, light green):</t>
  </si>
  <si>
    <t>thus, in most cases "years exposed" will equal the difference between initial and final ages)</t>
  </si>
  <si>
    <t>ΔNIPTS divided by the sum of ΔNIPTS and ΔARPTS, expressed as a percentage,</t>
  </si>
  <si>
    <t>(This percentage multiplied by the STS (non-age-corrected) yields a prediction of the occupational noise contribution, in dB)</t>
  </si>
  <si>
    <t>Estimates for ages &lt; 25 or &gt; 75, or exposures &gt; 100 dBA or &gt; 40 years, are extrapolations and may be less reliable.</t>
  </si>
  <si>
    <t>Below are the new Annex B median and 95th %ile thresholds for 10-year age groups (PTA5123):</t>
  </si>
  <si>
    <t>Here are the same percentiles for PTA234 (as used in the OSHA STS calculation)</t>
  </si>
  <si>
    <t>50%ile</t>
  </si>
  <si>
    <t xml:space="preserve">Male </t>
  </si>
  <si>
    <t>Below are the quadratic curve fits generated by Microsoft Excel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</si>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</sst>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</cellStyleXfs>
  <cellXfs count="25">
    <xf numFmtId="0" fontId="0" fillId="0" borderId="0" xfId="0"/>
    <xf numFmtId="0" fontId="2" fillId="0" borderId="0" xfId="1"/>
    <xf numFmtId="0" fontId="3" fillId="0" borderId="0" xfId="1" applyFont="1"/>
    <xf numFmtId="14" fontId="2" fillId="0" borderId="0" xfId="1" applyNumberFormat="1"/>
    <xf numFmtId="0" fontId="2" fillId="0" borderId="0" xfId="1" applyFont="1"/>
    <xf numFmtId="0" fontId="2" fillId="2" borderId="0" xfId="1" applyFill="1"/>
    <xf numFmtId="0" fontId="2" fillId="0" borderId="0" xfId="1" applyFill="1"/>
    <xf numFmtId="2" fontId="2" fillId="3" borderId="0" xfId="1" applyNumberFormat="1" applyFill="1"/>
    <xf numFmtId="0" fontId="4" fillId="0" borderId="0" xfId="2"/>
    <xf numFmtId="0" fontId="4" fillId="2" borderId="0" xfId="2" applyFill="1"/>
    <xf numFmtId="0" fontId="4" fillId="0" borderId="0" xfId="2" applyFill="1"/>
    <xf numFmtId="0" fontId="4" fillId="3" borderId="0" xfId="2" applyFill="1"/>
    <xf numFmtId="0" fontId="4" fillId="0" borderId="0" xfId="2" applyFont="1"/>
    <xf numFmtId="0" fontId="4" fillId="0" borderId="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0" xfId="2" applyFont="1" applyAlignment="1">
      <alignment vertical="top" wrapText="1"/>
    </xf>
    <xf numFmtId="2" fontId="4" fillId="0" borderId="0" xfId="2" applyNumberFormat="1"/>
    <xf numFmtId="0" fontId="0" fillId="0" borderId="0" xfId="0" applyFill="1"/>
    <xf numFmtId="2" fontId="0" fillId="0" borderId="0" xfId="0" applyNumberFormat="1"/>
    <xf numFmtId="49" fontId="0" fillId="0" borderId="0" xfId="0" applyNumberFormat="1"/>
    <xf numFmtId="2" fontId="1" fillId="4" borderId="0" xfId="5" applyNumberFormat="1" applyFont="1"/>
    <xf numFmtId="0" fontId="1" fillId="0" borderId="0" xfId="0" applyFont="1"/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right"/>
      <protection locked="0"/>
    </xf>
  </cellXfs>
  <cellStyles count="6">
    <cellStyle name="Followed Hyperlink" xfId="4" builtinId="9" hidden="1"/>
    <cellStyle name="Hyperlink" xfId="3" builtinId="8" hidden="1"/>
    <cellStyle name="Neutral" xfId="5" builtinId="28"/>
    <cellStyle name="Normal" xfId="0" builtinId="0"/>
    <cellStyle name="Normal 2" xfId="1" xr:uid="{00000000-0005-0000-0000-000004000000}"/>
    <cellStyle name="Normal 3" xfId="2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Hoffman et al. (2010, 2012)</a:t>
            </a:r>
          </a:p>
        </c:rich>
      </c:tx>
      <c:layout>
        <c:manualLayout>
          <c:xMode val="edge"/>
          <c:yMode val="edge"/>
          <c:x val="0.29032291931250498"/>
          <c:y val="3.2738095238095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8644230201"/>
          <c:y val="0.16369095194775399"/>
          <c:w val="0.51182862880731905"/>
          <c:h val="0.68154959992791997"/>
        </c:manualLayout>
      </c:layout>
      <c:scatterChart>
        <c:scatterStyle val="lineMarker"/>
        <c:varyColors val="0"/>
        <c:ser>
          <c:idx val="0"/>
          <c:order val="0"/>
          <c:tx>
            <c:v>Male 50%ile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forward val="5"/>
            <c:backward val="5"/>
            <c:dispRSqr val="0"/>
            <c:dispEq val="1"/>
            <c:trendlineLbl>
              <c:layout>
                <c:manualLayout>
                  <c:x val="0.42627478636932398"/>
                  <c:y val="-4.3978222870685903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</c:trendlineLbl>
          </c:trendline>
          <c:xVal>
            <c:numRef>
              <c:f>ARHL2!$C$6:$G$6</c:f>
              <c:numCache>
                <c:formatCode>General</c:formatCode>
                <c:ptCount val="5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</c:numCache>
            </c:numRef>
          </c:xVal>
          <c:yVal>
            <c:numRef>
              <c:f>ARHL2!$C$8:$G$8</c:f>
              <c:numCache>
                <c:formatCode>General</c:formatCode>
                <c:ptCount val="5"/>
                <c:pt idx="0">
                  <c:v>4.75</c:v>
                </c:pt>
                <c:pt idx="1">
                  <c:v>7.25</c:v>
                </c:pt>
                <c:pt idx="2">
                  <c:v>11</c:v>
                </c:pt>
                <c:pt idx="3">
                  <c:v>15.25</c:v>
                </c:pt>
                <c:pt idx="4">
                  <c:v>21.75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A9-A64E-B7F7-5BF145626749}"/>
            </c:ext>
          </c:extLst>
        </c:ser>
        <c:ser>
          <c:idx val="1"/>
          <c:order val="1"/>
          <c:tx>
            <c:v>Female 50%ile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forward val="5"/>
            <c:backward val="1"/>
            <c:dispRSqr val="0"/>
            <c:dispEq val="1"/>
            <c:trendlineLbl>
              <c:layout>
                <c:manualLayout>
                  <c:x val="0.42627478636932398"/>
                  <c:y val="5.1622741358774401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</c:trendlineLbl>
          </c:trendline>
          <c:xVal>
            <c:numRef>
              <c:f>ARHL2!$C$6:$G$6</c:f>
              <c:numCache>
                <c:formatCode>General</c:formatCode>
                <c:ptCount val="5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</c:numCache>
            </c:numRef>
          </c:xVal>
          <c:yVal>
            <c:numRef>
              <c:f>ARHL2!$C$9:$G$9</c:f>
              <c:numCache>
                <c:formatCode>General</c:formatCode>
                <c:ptCount val="5"/>
                <c:pt idx="0">
                  <c:v>4.25</c:v>
                </c:pt>
                <c:pt idx="1">
                  <c:v>5.25</c:v>
                </c:pt>
                <c:pt idx="2">
                  <c:v>7.5</c:v>
                </c:pt>
                <c:pt idx="3">
                  <c:v>11.5</c:v>
                </c:pt>
                <c:pt idx="4">
                  <c:v>16.75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A9-A64E-B7F7-5BF145626749}"/>
            </c:ext>
          </c:extLst>
        </c:ser>
        <c:ser>
          <c:idx val="2"/>
          <c:order val="2"/>
          <c:tx>
            <c:v>Male 95%ile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forward val="5"/>
            <c:backward val="5"/>
            <c:dispRSqr val="0"/>
            <c:dispEq val="1"/>
            <c:trendlineLbl>
              <c:layout>
                <c:manualLayout>
                  <c:x val="0.40714892348013698"/>
                  <c:y val="-2.38095167436598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</c:trendlineLbl>
          </c:trendline>
          <c:xVal>
            <c:numRef>
              <c:f>ARHL2!$C$6:$G$6</c:f>
              <c:numCache>
                <c:formatCode>General</c:formatCode>
                <c:ptCount val="5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</c:numCache>
            </c:numRef>
          </c:xVal>
          <c:yVal>
            <c:numRef>
              <c:f>ARHL2!$C$11:$G$11</c:f>
              <c:numCache>
                <c:formatCode>General</c:formatCode>
                <c:ptCount val="5"/>
                <c:pt idx="0">
                  <c:v>19.75</c:v>
                </c:pt>
                <c:pt idx="1">
                  <c:v>26.5</c:v>
                </c:pt>
                <c:pt idx="2">
                  <c:v>34.5</c:v>
                </c:pt>
                <c:pt idx="3">
                  <c:v>44</c:v>
                </c:pt>
                <c:pt idx="4">
                  <c:v>51.75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A9-A64E-B7F7-5BF145626749}"/>
            </c:ext>
          </c:extLst>
        </c:ser>
        <c:ser>
          <c:idx val="3"/>
          <c:order val="3"/>
          <c:tx>
            <c:v>Female 95%ile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forward val="5"/>
            <c:backward val="5"/>
            <c:dispRSqr val="0"/>
            <c:dispEq val="1"/>
            <c:trendlineLbl>
              <c:layout>
                <c:manualLayout>
                  <c:x val="0.42587010429812699"/>
                  <c:y val="-2.1164830481147901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</c:trendlineLbl>
          </c:trendline>
          <c:xVal>
            <c:numRef>
              <c:f>ARHL2!$C$6:$G$6</c:f>
              <c:numCache>
                <c:formatCode>General</c:formatCode>
                <c:ptCount val="5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</c:numCache>
            </c:numRef>
          </c:xVal>
          <c:yVal>
            <c:numRef>
              <c:f>ARHL2!$C$12:$G$12</c:f>
              <c:numCache>
                <c:formatCode>General</c:formatCode>
                <c:ptCount val="5"/>
                <c:pt idx="0">
                  <c:v>15.75</c:v>
                </c:pt>
                <c:pt idx="1">
                  <c:v>21.5</c:v>
                </c:pt>
                <c:pt idx="2">
                  <c:v>25.75</c:v>
                </c:pt>
                <c:pt idx="3">
                  <c:v>37.25</c:v>
                </c:pt>
                <c:pt idx="4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A9-A64E-B7F7-5BF145626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291496"/>
        <c:axId val="2126297304"/>
      </c:scatterChart>
      <c:valAx>
        <c:axId val="2126291496"/>
        <c:scaling>
          <c:orientation val="minMax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34193599187198398"/>
              <c:y val="0.913693053993250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26297304"/>
        <c:crosses val="autoZero"/>
        <c:crossBetween val="midCat"/>
      </c:valAx>
      <c:valAx>
        <c:axId val="2126297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PTA5123 (dB HL)</a:t>
                </a:r>
              </a:p>
            </c:rich>
          </c:tx>
          <c:layout>
            <c:manualLayout>
              <c:xMode val="edge"/>
              <c:yMode val="edge"/>
              <c:x val="2.7956989247311801E-2"/>
              <c:y val="0.35119141357330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262914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43027686055401"/>
          <c:y val="0.11904785339332601"/>
          <c:w val="0.28387130640927899"/>
          <c:h val="0.264881655418073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Male 50%ile</c:v>
          </c:tx>
          <c:spPr>
            <a:ln w="4762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0.32691781002291098"/>
                  <c:y val="1.3229687529934701E-2"/>
                </c:manualLayout>
              </c:layout>
              <c:numFmt formatCode="General" sourceLinked="0"/>
            </c:trendlineLbl>
          </c:trendline>
          <c:xVal>
            <c:numRef>
              <c:f>ARHL2!$L$6:$P$6</c:f>
              <c:numCache>
                <c:formatCode>General</c:formatCode>
                <c:ptCount val="5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</c:numCache>
            </c:numRef>
          </c:xVal>
          <c:yVal>
            <c:numRef>
              <c:f>ARHL2!$L$8:$P$8</c:f>
              <c:numCache>
                <c:formatCode>0.00</c:formatCode>
                <c:ptCount val="5"/>
                <c:pt idx="0">
                  <c:v>5</c:v>
                </c:pt>
                <c:pt idx="1">
                  <c:v>9.3333300000000001</c:v>
                </c:pt>
                <c:pt idx="2">
                  <c:v>15.66666</c:v>
                </c:pt>
                <c:pt idx="3">
                  <c:v>24.66666</c:v>
                </c:pt>
                <c:pt idx="4">
                  <c:v>35.66666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A4-714E-BA65-F4DB952C30D8}"/>
            </c:ext>
          </c:extLst>
        </c:ser>
        <c:ser>
          <c:idx val="1"/>
          <c:order val="1"/>
          <c:tx>
            <c:v>Female 50%ile</c:v>
          </c:tx>
          <c:spPr>
            <a:ln w="4762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318208496826693"/>
                  <c:y val="4.41237044274575E-2"/>
                </c:manualLayout>
              </c:layout>
              <c:numFmt formatCode="General" sourceLinked="0"/>
            </c:trendlineLbl>
          </c:trendline>
          <c:xVal>
            <c:numRef>
              <c:f>ARHL2!$L$6:$P$6</c:f>
              <c:numCache>
                <c:formatCode>General</c:formatCode>
                <c:ptCount val="5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</c:numCache>
            </c:numRef>
          </c:xVal>
          <c:yVal>
            <c:numRef>
              <c:f>ARHL2!$L$9:$P$9</c:f>
              <c:numCache>
                <c:formatCode>0.00</c:formatCode>
                <c:ptCount val="5"/>
                <c:pt idx="0">
                  <c:v>3.3333300000000001</c:v>
                </c:pt>
                <c:pt idx="1">
                  <c:v>5.3333300000000001</c:v>
                </c:pt>
                <c:pt idx="2">
                  <c:v>8</c:v>
                </c:pt>
                <c:pt idx="3">
                  <c:v>13</c:v>
                </c:pt>
                <c:pt idx="4">
                  <c:v>21.33333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A4-714E-BA65-F4DB952C30D8}"/>
            </c:ext>
          </c:extLst>
        </c:ser>
        <c:ser>
          <c:idx val="2"/>
          <c:order val="2"/>
          <c:tx>
            <c:v>Male 95%ile</c:v>
          </c:tx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21013812445685101"/>
                  <c:y val="-3.42165258539763E-3"/>
                </c:manualLayout>
              </c:layout>
              <c:numFmt formatCode="General" sourceLinked="0"/>
            </c:trendlineLbl>
          </c:trendline>
          <c:xVal>
            <c:numRef>
              <c:f>ARHL2!$L$6:$P$6</c:f>
              <c:numCache>
                <c:formatCode>General</c:formatCode>
                <c:ptCount val="5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</c:numCache>
            </c:numRef>
          </c:xVal>
          <c:yVal>
            <c:numRef>
              <c:f>ARHL2!$L$11:$P$11</c:f>
              <c:numCache>
                <c:formatCode>0.00</c:formatCode>
                <c:ptCount val="5"/>
                <c:pt idx="0">
                  <c:v>25.33333</c:v>
                </c:pt>
                <c:pt idx="1">
                  <c:v>38.66666</c:v>
                </c:pt>
                <c:pt idx="2">
                  <c:v>52.333329999999997</c:v>
                </c:pt>
                <c:pt idx="3">
                  <c:v>62.333329999999997</c:v>
                </c:pt>
                <c:pt idx="4">
                  <c:v>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A4-714E-BA65-F4DB952C30D8}"/>
            </c:ext>
          </c:extLst>
        </c:ser>
        <c:ser>
          <c:idx val="3"/>
          <c:order val="3"/>
          <c:tx>
            <c:v>Female 95%ile</c:v>
          </c:tx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212993936481184"/>
                  <c:y val="1.5446529494032199E-2"/>
                </c:manualLayout>
              </c:layout>
              <c:numFmt formatCode="General" sourceLinked="0"/>
            </c:trendlineLbl>
          </c:trendline>
          <c:xVal>
            <c:numRef>
              <c:f>ARHL2!$L$6:$P$6</c:f>
              <c:numCache>
                <c:formatCode>General</c:formatCode>
                <c:ptCount val="5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</c:numCache>
            </c:numRef>
          </c:xVal>
          <c:yVal>
            <c:numRef>
              <c:f>ARHL2!$L$12:$P$12</c:f>
              <c:numCache>
                <c:formatCode>0.00</c:formatCode>
                <c:ptCount val="5"/>
                <c:pt idx="0">
                  <c:v>14.66666</c:v>
                </c:pt>
                <c:pt idx="1">
                  <c:v>22.33333</c:v>
                </c:pt>
                <c:pt idx="2">
                  <c:v>28.66666</c:v>
                </c:pt>
                <c:pt idx="3">
                  <c:v>43.66666</c:v>
                </c:pt>
                <c:pt idx="4">
                  <c:v>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A4-714E-BA65-F4DB952C3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067272"/>
        <c:axId val="2130072088"/>
      </c:scatterChart>
      <c:valAx>
        <c:axId val="2130067272"/>
        <c:scaling>
          <c:orientation val="minMax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0072088"/>
        <c:crosses val="autoZero"/>
        <c:crossBetween val="midCat"/>
      </c:valAx>
      <c:valAx>
        <c:axId val="2130072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PTA234 (dB HL)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300672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600262903183599"/>
          <c:y val="2.8746515088724001E-2"/>
          <c:w val="0.211566432102964"/>
          <c:h val="0.2882765700938100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32</xdr:row>
      <xdr:rowOff>76200</xdr:rowOff>
    </xdr:from>
    <xdr:to>
      <xdr:col>3</xdr:col>
      <xdr:colOff>76200</xdr:colOff>
      <xdr:row>32</xdr:row>
      <xdr:rowOff>101600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663700" y="4953000"/>
          <a:ext cx="762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             0.5             1              2              4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32</xdr:row>
      <xdr:rowOff>76200</xdr:rowOff>
    </xdr:from>
    <xdr:to>
      <xdr:col>3</xdr:col>
      <xdr:colOff>76200</xdr:colOff>
      <xdr:row>32</xdr:row>
      <xdr:rowOff>101600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663700" y="4953000"/>
          <a:ext cx="762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             0.5             1              2              4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800100</xdr:colOff>
      <xdr:row>43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802640</xdr:colOff>
      <xdr:row>15</xdr:row>
      <xdr:rowOff>0</xdr:rowOff>
    </xdr:from>
    <xdr:to>
      <xdr:col>16</xdr:col>
      <xdr:colOff>762000</xdr:colOff>
      <xdr:row>42</xdr:row>
      <xdr:rowOff>132080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opLeftCell="A4" zoomScale="150" zoomScaleNormal="150" zoomScalePageLayoutView="150" workbookViewId="0">
      <selection activeCell="D7" sqref="D7"/>
    </sheetView>
  </sheetViews>
  <sheetFormatPr baseColWidth="10" defaultRowHeight="16" x14ac:dyDescent="0.2"/>
  <cols>
    <col min="1" max="1" width="21.1640625" customWidth="1"/>
    <col min="2" max="2" width="7" customWidth="1"/>
    <col min="3" max="3" width="4.1640625" customWidth="1"/>
    <col min="5" max="5" width="13.1640625" customWidth="1"/>
  </cols>
  <sheetData>
    <row r="1" spans="1:3" x14ac:dyDescent="0.2">
      <c r="A1" s="20" t="s">
        <v>102</v>
      </c>
      <c r="B1" s="20"/>
      <c r="C1" t="s">
        <v>98</v>
      </c>
    </row>
    <row r="2" spans="1:3" x14ac:dyDescent="0.2">
      <c r="A2" t="s">
        <v>114</v>
      </c>
    </row>
    <row r="3" spans="1:3" x14ac:dyDescent="0.2">
      <c r="A3" t="s">
        <v>115</v>
      </c>
    </row>
    <row r="5" spans="1:3" x14ac:dyDescent="0.2">
      <c r="A5" t="s">
        <v>95</v>
      </c>
      <c r="B5" s="23">
        <v>40</v>
      </c>
      <c r="C5" t="s">
        <v>108</v>
      </c>
    </row>
    <row r="6" spans="1:3" x14ac:dyDescent="0.2">
      <c r="A6" t="s">
        <v>93</v>
      </c>
      <c r="B6" s="23">
        <v>60</v>
      </c>
      <c r="C6" t="s">
        <v>105</v>
      </c>
    </row>
    <row r="7" spans="1:3" x14ac:dyDescent="0.2">
      <c r="A7" t="s">
        <v>96</v>
      </c>
      <c r="B7" s="24" t="s">
        <v>125</v>
      </c>
    </row>
    <row r="8" spans="1:3" x14ac:dyDescent="0.2">
      <c r="A8" t="s">
        <v>86</v>
      </c>
      <c r="B8" s="23">
        <v>90</v>
      </c>
      <c r="C8" t="s">
        <v>106</v>
      </c>
    </row>
    <row r="9" spans="1:3" x14ac:dyDescent="0.2">
      <c r="A9" t="s">
        <v>94</v>
      </c>
      <c r="B9" s="23">
        <v>10</v>
      </c>
      <c r="C9" t="s">
        <v>107</v>
      </c>
    </row>
    <row r="10" spans="1:3" x14ac:dyDescent="0.2">
      <c r="A10" t="s">
        <v>109</v>
      </c>
    </row>
    <row r="11" spans="1:3" x14ac:dyDescent="0.2">
      <c r="A11" t="s">
        <v>116</v>
      </c>
    </row>
    <row r="12" spans="1:3" x14ac:dyDescent="0.2">
      <c r="A12" t="s">
        <v>92</v>
      </c>
      <c r="B12" s="23">
        <v>20</v>
      </c>
      <c r="C12" t="s">
        <v>101</v>
      </c>
    </row>
    <row r="13" spans="1:3" x14ac:dyDescent="0.2">
      <c r="B13" s="18"/>
    </row>
    <row r="14" spans="1:3" x14ac:dyDescent="0.2">
      <c r="A14" t="s">
        <v>110</v>
      </c>
      <c r="B14" s="18"/>
    </row>
    <row r="16" spans="1:3" x14ac:dyDescent="0.2">
      <c r="A16" t="s">
        <v>103</v>
      </c>
      <c r="B16" s="21">
        <f>F25-F24</f>
        <v>1.0846047616102936</v>
      </c>
      <c r="C16" t="s">
        <v>99</v>
      </c>
    </row>
    <row r="17" spans="1:6" x14ac:dyDescent="0.2">
      <c r="A17" t="s">
        <v>104</v>
      </c>
      <c r="B17" s="21">
        <f>F23-F22</f>
        <v>7.6699999999999946</v>
      </c>
      <c r="C17" t="s">
        <v>100</v>
      </c>
    </row>
    <row r="18" spans="1:6" x14ac:dyDescent="0.2">
      <c r="A18" t="s">
        <v>87</v>
      </c>
      <c r="B18" s="21">
        <f>100*B16/(B16+B17)</f>
        <v>12.388963193020214</v>
      </c>
      <c r="C18" t="s">
        <v>117</v>
      </c>
    </row>
    <row r="19" spans="1:6" x14ac:dyDescent="0.2">
      <c r="A19" t="s">
        <v>118</v>
      </c>
      <c r="B19" s="22"/>
    </row>
    <row r="21" spans="1:6" x14ac:dyDescent="0.2">
      <c r="A21" t="s">
        <v>88</v>
      </c>
    </row>
    <row r="22" spans="1:6" x14ac:dyDescent="0.2">
      <c r="A22" t="s">
        <v>89</v>
      </c>
      <c r="F22" s="19">
        <f>IF(B7="M",'ARHL (initial)'!G8,'ARHL (initial)'!G9)</f>
        <v>5.3100000000000041</v>
      </c>
    </row>
    <row r="23" spans="1:6" x14ac:dyDescent="0.2">
      <c r="A23" t="s">
        <v>90</v>
      </c>
      <c r="F23" s="19">
        <f>IF(B7="M",'ARHL (final)'!G8,'ARHL (final)'!G9)</f>
        <v>12.979999999999999</v>
      </c>
    </row>
    <row r="24" spans="1:6" x14ac:dyDescent="0.2">
      <c r="A24" t="s">
        <v>91</v>
      </c>
      <c r="F24" s="19">
        <f>'NIPTS (initial)'!J18</f>
        <v>9.0644774199596814</v>
      </c>
    </row>
    <row r="25" spans="1:6" x14ac:dyDescent="0.2">
      <c r="A25" t="s">
        <v>97</v>
      </c>
      <c r="F25" s="19">
        <f>'NIPTS (final)'!J18</f>
        <v>10.149082181569975</v>
      </c>
    </row>
    <row r="27" spans="1:6" x14ac:dyDescent="0.2">
      <c r="A27" t="s">
        <v>111</v>
      </c>
    </row>
    <row r="28" spans="1:6" x14ac:dyDescent="0.2">
      <c r="A28" t="s">
        <v>112</v>
      </c>
    </row>
    <row r="29" spans="1:6" x14ac:dyDescent="0.2">
      <c r="A29" t="s">
        <v>119</v>
      </c>
    </row>
    <row r="30" spans="1:6" x14ac:dyDescent="0.2">
      <c r="A30" t="s">
        <v>113</v>
      </c>
    </row>
  </sheetData>
  <sheetProtection password="CC21" sheet="1" objects="1" scenarios="1"/>
  <phoneticPr fontId="5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zoomScale="150" zoomScaleNormal="150" zoomScalePageLayoutView="150" workbookViewId="0">
      <selection activeCell="B8" sqref="B8"/>
    </sheetView>
  </sheetViews>
  <sheetFormatPr baseColWidth="10" defaultRowHeight="13" x14ac:dyDescent="0.15"/>
  <cols>
    <col min="1" max="1" width="10.83203125" style="1"/>
    <col min="2" max="2" width="6.83203125" style="1" customWidth="1"/>
    <col min="3" max="3" width="6" style="1" customWidth="1"/>
    <col min="4" max="5" width="5.83203125" style="1" customWidth="1"/>
    <col min="6" max="6" width="6.5" style="1" customWidth="1"/>
    <col min="7" max="7" width="5.83203125" style="1" customWidth="1"/>
    <col min="8" max="8" width="9.83203125" style="1" customWidth="1"/>
    <col min="9" max="9" width="8.1640625" style="1" customWidth="1"/>
    <col min="10" max="10" width="7.1640625" style="1" bestFit="1" customWidth="1"/>
    <col min="11" max="11" width="10.83203125" style="1"/>
    <col min="12" max="12" width="13.33203125" style="1" customWidth="1"/>
    <col min="13" max="16384" width="10.83203125" style="1"/>
  </cols>
  <sheetData>
    <row r="1" spans="1:10" x14ac:dyDescent="0.15">
      <c r="A1" s="1" t="s">
        <v>0</v>
      </c>
      <c r="E1" s="2"/>
      <c r="F1" s="3"/>
      <c r="G1" s="3"/>
    </row>
    <row r="2" spans="1:10" x14ac:dyDescent="0.15">
      <c r="A2" s="1" t="s">
        <v>1</v>
      </c>
      <c r="E2" s="2"/>
      <c r="F2" s="3"/>
      <c r="G2" s="3"/>
    </row>
    <row r="3" spans="1:10" x14ac:dyDescent="0.15">
      <c r="A3" s="1" t="s">
        <v>2</v>
      </c>
      <c r="E3" s="2"/>
      <c r="F3" s="3"/>
      <c r="G3" s="3"/>
    </row>
    <row r="4" spans="1:10" x14ac:dyDescent="0.15">
      <c r="A4" s="1" t="s">
        <v>3</v>
      </c>
      <c r="E4" s="2"/>
      <c r="F4" s="3"/>
      <c r="G4" s="3"/>
    </row>
    <row r="5" spans="1:10" x14ac:dyDescent="0.15">
      <c r="A5" s="1" t="s">
        <v>4</v>
      </c>
      <c r="E5" s="2"/>
      <c r="F5" s="3"/>
      <c r="G5" s="3"/>
    </row>
    <row r="6" spans="1:10" x14ac:dyDescent="0.15">
      <c r="A6" s="4" t="s">
        <v>5</v>
      </c>
      <c r="B6" s="4"/>
      <c r="C6" s="4"/>
      <c r="D6" s="4"/>
      <c r="E6" s="4"/>
    </row>
    <row r="8" spans="1:10" x14ac:dyDescent="0.15">
      <c r="A8" s="2"/>
      <c r="F8" s="1" t="s">
        <v>6</v>
      </c>
      <c r="G8" s="5">
        <f>Sheet1!B8</f>
        <v>90</v>
      </c>
      <c r="H8" s="1" t="s">
        <v>7</v>
      </c>
    </row>
    <row r="9" spans="1:10" x14ac:dyDescent="0.15">
      <c r="E9" s="1" t="s">
        <v>8</v>
      </c>
      <c r="G9" s="5">
        <f>Sheet1!B12+Sheet1!B9</f>
        <v>30</v>
      </c>
      <c r="H9" s="1" t="s">
        <v>9</v>
      </c>
    </row>
    <row r="10" spans="1:10" x14ac:dyDescent="0.15">
      <c r="G10" s="6"/>
    </row>
    <row r="11" spans="1:10" x14ac:dyDescent="0.15">
      <c r="A11" s="1" t="s">
        <v>10</v>
      </c>
      <c r="G11" s="6"/>
    </row>
    <row r="12" spans="1:10" x14ac:dyDescent="0.15">
      <c r="A12" s="1" t="s">
        <v>11</v>
      </c>
      <c r="G12" s="6"/>
    </row>
    <row r="13" spans="1:10" x14ac:dyDescent="0.15">
      <c r="A13" s="1" t="s">
        <v>12</v>
      </c>
      <c r="G13" s="6"/>
    </row>
    <row r="14" spans="1:10" x14ac:dyDescent="0.15">
      <c r="A14" s="1" t="s">
        <v>13</v>
      </c>
      <c r="G14" s="6"/>
    </row>
    <row r="15" spans="1:10" x14ac:dyDescent="0.15">
      <c r="G15" s="6"/>
    </row>
    <row r="16" spans="1:10" x14ac:dyDescent="0.15">
      <c r="A16" s="1" t="s">
        <v>14</v>
      </c>
      <c r="B16" s="1">
        <v>0.5</v>
      </c>
      <c r="C16" s="1">
        <v>1</v>
      </c>
      <c r="D16" s="1">
        <v>2</v>
      </c>
      <c r="E16" s="1">
        <v>3</v>
      </c>
      <c r="F16" s="1">
        <v>4</v>
      </c>
      <c r="G16" s="1">
        <v>6</v>
      </c>
      <c r="I16" s="1" t="s">
        <v>15</v>
      </c>
      <c r="J16" s="1" t="s">
        <v>16</v>
      </c>
    </row>
    <row r="18" spans="1:10" x14ac:dyDescent="0.15">
      <c r="A18" s="1" t="s">
        <v>17</v>
      </c>
      <c r="B18" s="5">
        <f>IF(G9&gt;10,B33,B36)</f>
        <v>0</v>
      </c>
      <c r="C18" s="5">
        <f>IF(G9&gt;10,C33,C36)</f>
        <v>8.3398487830376372E-2</v>
      </c>
      <c r="D18" s="5">
        <f>IF(G9&gt;10,D33,D36)</f>
        <v>5.2490002811497725</v>
      </c>
      <c r="E18" s="5">
        <f>IF(G9&gt;10,E33,E36)</f>
        <v>11.264439205762049</v>
      </c>
      <c r="F18" s="5">
        <f>IF(G9&gt;10,F33,F36)</f>
        <v>13.933807057798102</v>
      </c>
      <c r="G18" s="5">
        <f>IF(G9&gt;10,G33,G36)</f>
        <v>9.2022038091429508</v>
      </c>
      <c r="I18" s="7">
        <f>(B18+C18+D18+E18)/4</f>
        <v>4.1492094936855493</v>
      </c>
      <c r="J18" s="7">
        <f>AVERAGE(D18:F18)</f>
        <v>10.149082181569975</v>
      </c>
    </row>
    <row r="19" spans="1:10" x14ac:dyDescent="0.15">
      <c r="A19" s="1" t="s">
        <v>18</v>
      </c>
      <c r="B19" s="5">
        <f>IF(G9&gt;10,B42,B46)</f>
        <v>0</v>
      </c>
      <c r="C19" s="5">
        <f>IF(G9&gt;10,C42,C46)</f>
        <v>0.15846631925459786</v>
      </c>
      <c r="D19" s="5">
        <f>IF(G9&gt;10,D42,D46)</f>
        <v>9.8625273883470044</v>
      </c>
      <c r="E19" s="5">
        <f>IF(G9&gt;10,E42,E46)</f>
        <v>19.780827716455484</v>
      </c>
      <c r="F19" s="5">
        <f>IF(G9&gt;10,F42,F46)</f>
        <v>20.704907597426139</v>
      </c>
      <c r="G19" s="5">
        <f>IF(G9&gt;10,G42,G46)</f>
        <v>16.101445564489666</v>
      </c>
      <c r="I19" s="7">
        <f>(B19+C19+D19+E19)/4</f>
        <v>7.4504553560142721</v>
      </c>
      <c r="J19" s="7">
        <f>AVERAGE(D19:F19)</f>
        <v>16.782754234076208</v>
      </c>
    </row>
    <row r="20" spans="1:10" x14ac:dyDescent="0.15">
      <c r="B20" s="6"/>
      <c r="C20" s="6"/>
      <c r="D20" s="6"/>
      <c r="E20" s="6"/>
      <c r="F20" s="6"/>
      <c r="G20" s="6"/>
    </row>
    <row r="21" spans="1:10" x14ac:dyDescent="0.15">
      <c r="A21" s="1" t="s">
        <v>19</v>
      </c>
      <c r="B21" s="6"/>
      <c r="C21" s="6"/>
      <c r="D21" s="6"/>
      <c r="E21" s="6"/>
      <c r="F21" s="6"/>
      <c r="G21" s="6"/>
    </row>
    <row r="22" spans="1:10" x14ac:dyDescent="0.15">
      <c r="A22" s="1" t="s">
        <v>20</v>
      </c>
      <c r="B22" s="6"/>
      <c r="C22" s="6"/>
      <c r="D22" s="6"/>
      <c r="E22" s="6"/>
      <c r="F22" s="6"/>
      <c r="G22" s="6"/>
    </row>
    <row r="23" spans="1:10" x14ac:dyDescent="0.15">
      <c r="A23" s="1" t="s">
        <v>21</v>
      </c>
      <c r="B23" s="6"/>
      <c r="C23" s="6"/>
      <c r="D23" s="6"/>
      <c r="E23" s="6"/>
      <c r="F23" s="6"/>
      <c r="G23" s="6"/>
    </row>
    <row r="24" spans="1:10" x14ac:dyDescent="0.15">
      <c r="A24" s="1" t="s">
        <v>22</v>
      </c>
    </row>
    <row r="26" spans="1:10" x14ac:dyDescent="0.15">
      <c r="A26" s="1" t="s">
        <v>23</v>
      </c>
      <c r="B26" s="1">
        <v>-3.3000000000000002E-2</v>
      </c>
      <c r="C26" s="1">
        <v>-0.02</v>
      </c>
      <c r="D26" s="1">
        <v>-4.4999999999999998E-2</v>
      </c>
      <c r="E26" s="1">
        <v>1.2E-2</v>
      </c>
      <c r="F26" s="1">
        <v>2.5000000000000001E-2</v>
      </c>
      <c r="G26" s="1">
        <v>1.9E-2</v>
      </c>
    </row>
    <row r="27" spans="1:10" x14ac:dyDescent="0.15">
      <c r="A27" s="1" t="s">
        <v>24</v>
      </c>
      <c r="B27" s="1">
        <v>0.11</v>
      </c>
      <c r="C27" s="1">
        <v>7.0000000000000007E-2</v>
      </c>
      <c r="D27" s="1">
        <v>6.6000000000000003E-2</v>
      </c>
      <c r="E27" s="1">
        <v>3.6999999999999998E-2</v>
      </c>
      <c r="F27" s="1">
        <v>2.5000000000000001E-2</v>
      </c>
      <c r="G27" s="1">
        <v>2.4E-2</v>
      </c>
    </row>
    <row r="28" spans="1:10" x14ac:dyDescent="0.15">
      <c r="A28" s="1" t="s">
        <v>25</v>
      </c>
      <c r="B28" s="1">
        <f>LOG10(G9)</f>
        <v>1.4771212547196624</v>
      </c>
      <c r="C28" s="1">
        <f t="shared" ref="C28:G29" si="0">B28</f>
        <v>1.4771212547196624</v>
      </c>
      <c r="D28" s="1">
        <f t="shared" si="0"/>
        <v>1.4771212547196624</v>
      </c>
      <c r="E28" s="1">
        <f t="shared" si="0"/>
        <v>1.4771212547196624</v>
      </c>
      <c r="F28" s="1">
        <f t="shared" si="0"/>
        <v>1.4771212547196624</v>
      </c>
      <c r="G28" s="1">
        <f t="shared" si="0"/>
        <v>1.4771212547196624</v>
      </c>
    </row>
    <row r="29" spans="1:10" x14ac:dyDescent="0.15">
      <c r="A29" s="1" t="s">
        <v>26</v>
      </c>
      <c r="B29" s="1">
        <f>G8</f>
        <v>90</v>
      </c>
      <c r="C29" s="1">
        <f t="shared" si="0"/>
        <v>90</v>
      </c>
      <c r="D29" s="1">
        <f t="shared" si="0"/>
        <v>90</v>
      </c>
      <c r="E29" s="1">
        <f t="shared" si="0"/>
        <v>90</v>
      </c>
      <c r="F29" s="1">
        <f t="shared" si="0"/>
        <v>90</v>
      </c>
      <c r="G29" s="1">
        <f t="shared" si="0"/>
        <v>90</v>
      </c>
      <c r="H29" s="1" t="s">
        <v>27</v>
      </c>
    </row>
    <row r="30" spans="1:10" x14ac:dyDescent="0.15">
      <c r="A30" s="1" t="s">
        <v>28</v>
      </c>
      <c r="B30" s="1">
        <v>93</v>
      </c>
      <c r="C30" s="1">
        <v>89</v>
      </c>
      <c r="D30" s="1">
        <v>80</v>
      </c>
      <c r="E30" s="1">
        <v>77</v>
      </c>
      <c r="F30" s="1">
        <v>75</v>
      </c>
      <c r="G30" s="1">
        <v>77</v>
      </c>
    </row>
    <row r="31" spans="1:10" x14ac:dyDescent="0.15">
      <c r="A31" s="1" t="s">
        <v>29</v>
      </c>
      <c r="B31" s="1">
        <f t="shared" ref="B31:G31" si="1">IF(B29&gt;B30,1,0)</f>
        <v>0</v>
      </c>
      <c r="C31" s="1">
        <f t="shared" si="1"/>
        <v>1</v>
      </c>
      <c r="D31" s="1">
        <f t="shared" si="1"/>
        <v>1</v>
      </c>
      <c r="E31" s="1">
        <f t="shared" si="1"/>
        <v>1</v>
      </c>
      <c r="F31" s="1">
        <f t="shared" si="1"/>
        <v>1</v>
      </c>
      <c r="G31" s="1">
        <f t="shared" si="1"/>
        <v>1</v>
      </c>
      <c r="H31" s="1" t="s">
        <v>30</v>
      </c>
    </row>
    <row r="32" spans="1:10" x14ac:dyDescent="0.15">
      <c r="A32" s="1" t="s">
        <v>31</v>
      </c>
      <c r="B32" s="1">
        <f t="shared" ref="B32:G32" si="2">(B29-B30)*B31</f>
        <v>0</v>
      </c>
      <c r="C32" s="1">
        <f t="shared" si="2"/>
        <v>1</v>
      </c>
      <c r="D32" s="1">
        <f t="shared" si="2"/>
        <v>10</v>
      </c>
      <c r="E32" s="1">
        <f t="shared" si="2"/>
        <v>13</v>
      </c>
      <c r="F32" s="1">
        <f t="shared" si="2"/>
        <v>15</v>
      </c>
      <c r="G32" s="1">
        <f t="shared" si="2"/>
        <v>13</v>
      </c>
    </row>
    <row r="33" spans="1:8" x14ac:dyDescent="0.15">
      <c r="A33" s="1" t="s">
        <v>32</v>
      </c>
      <c r="B33" s="1">
        <f t="shared" ref="B33:G33" si="3">(B26+B27*B28)*B32^2</f>
        <v>0</v>
      </c>
      <c r="C33" s="1">
        <f t="shared" si="3"/>
        <v>8.3398487830376372E-2</v>
      </c>
      <c r="D33" s="1">
        <f t="shared" si="3"/>
        <v>5.2490002811497725</v>
      </c>
      <c r="E33" s="1">
        <f t="shared" si="3"/>
        <v>11.264439205762049</v>
      </c>
      <c r="F33" s="1">
        <f t="shared" si="3"/>
        <v>13.933807057798102</v>
      </c>
      <c r="G33" s="1">
        <f t="shared" si="3"/>
        <v>9.2022038091429508</v>
      </c>
      <c r="H33" s="1" t="s">
        <v>33</v>
      </c>
    </row>
    <row r="35" spans="1:8" x14ac:dyDescent="0.15">
      <c r="A35" s="1" t="s">
        <v>34</v>
      </c>
      <c r="B35" s="1">
        <f t="shared" ref="B35:G35" si="4">(B26+B27)*B32^2</f>
        <v>0</v>
      </c>
      <c r="C35" s="1">
        <f t="shared" si="4"/>
        <v>0.05</v>
      </c>
      <c r="D35" s="1">
        <f t="shared" si="4"/>
        <v>2.1000000000000005</v>
      </c>
      <c r="E35" s="1">
        <f t="shared" si="4"/>
        <v>8.2810000000000006</v>
      </c>
      <c r="F35" s="1">
        <f t="shared" si="4"/>
        <v>11.25</v>
      </c>
      <c r="G35" s="1">
        <f t="shared" si="4"/>
        <v>7.2669999999999995</v>
      </c>
      <c r="H35" s="1" t="s">
        <v>35</v>
      </c>
    </row>
    <row r="36" spans="1:8" x14ac:dyDescent="0.15">
      <c r="A36" s="1" t="s">
        <v>32</v>
      </c>
      <c r="B36" s="1">
        <f>B35*(LOG10(G9+1)/LOG10(11))</f>
        <v>0</v>
      </c>
      <c r="C36" s="1">
        <f>C35*(LOG10(G9+1)/LOG10(11))</f>
        <v>7.1604194800335141E-2</v>
      </c>
      <c r="D36" s="1">
        <f>D35*(LOG10(G9+1)/LOG10(11))</f>
        <v>3.0073761816140765</v>
      </c>
      <c r="E36" s="1">
        <f>E35*(LOG10(G9+1)/LOG10(11))</f>
        <v>11.859086742831506</v>
      </c>
      <c r="F36" s="1">
        <f>F35*(LOG10(G9+1)/LOG10(11))</f>
        <v>16.110943830075406</v>
      </c>
      <c r="G36" s="1">
        <f>G35*(LOG10(G9+1)/LOG10(11))</f>
        <v>10.406953672280709</v>
      </c>
      <c r="H36" s="1" t="s">
        <v>36</v>
      </c>
    </row>
    <row r="38" spans="1:8" x14ac:dyDescent="0.15">
      <c r="A38" s="1" t="s">
        <v>37</v>
      </c>
      <c r="B38" s="1">
        <v>1.645</v>
      </c>
      <c r="C38" s="1">
        <v>1.645</v>
      </c>
      <c r="D38" s="1">
        <v>1.645</v>
      </c>
      <c r="E38" s="1">
        <v>1.645</v>
      </c>
      <c r="F38" s="1">
        <v>1.645</v>
      </c>
      <c r="G38" s="1">
        <v>1.645</v>
      </c>
    </row>
    <row r="39" spans="1:8" x14ac:dyDescent="0.15">
      <c r="A39" s="1" t="s">
        <v>38</v>
      </c>
      <c r="B39" s="1">
        <v>4.3999999999999997E-2</v>
      </c>
      <c r="C39" s="1">
        <v>2.1999999999999999E-2</v>
      </c>
      <c r="D39" s="1">
        <v>3.1E-2</v>
      </c>
      <c r="E39" s="1">
        <v>7.0000000000000001E-3</v>
      </c>
      <c r="F39" s="1">
        <v>5.0000000000000001E-3</v>
      </c>
      <c r="G39" s="1">
        <v>1.2999999999999999E-2</v>
      </c>
    </row>
    <row r="40" spans="1:8" x14ac:dyDescent="0.15">
      <c r="A40" s="1" t="s">
        <v>39</v>
      </c>
      <c r="B40" s="1">
        <v>1.6E-2</v>
      </c>
      <c r="C40" s="1">
        <v>1.6E-2</v>
      </c>
      <c r="D40" s="1">
        <v>-2E-3</v>
      </c>
      <c r="E40" s="1">
        <v>1.6E-2</v>
      </c>
      <c r="F40" s="1">
        <v>8.9999999999999993E-3</v>
      </c>
      <c r="G40" s="1">
        <v>8.0000000000000002E-3</v>
      </c>
    </row>
    <row r="41" spans="1:8" x14ac:dyDescent="0.15">
      <c r="A41" s="1" t="s">
        <v>40</v>
      </c>
      <c r="B41" s="1">
        <f t="shared" ref="B41:G41" si="5">(B39+B40*B28)*B32^2</f>
        <v>0</v>
      </c>
      <c r="C41" s="1">
        <f t="shared" si="5"/>
        <v>4.5633940075514592E-2</v>
      </c>
      <c r="D41" s="1">
        <f t="shared" si="5"/>
        <v>2.8045757490560677</v>
      </c>
      <c r="E41" s="1">
        <f t="shared" si="5"/>
        <v>5.1771358727619665</v>
      </c>
      <c r="F41" s="1">
        <f t="shared" si="5"/>
        <v>4.1161705408073166</v>
      </c>
      <c r="G41" s="1">
        <f t="shared" si="5"/>
        <v>4.194067936380983</v>
      </c>
    </row>
    <row r="42" spans="1:8" x14ac:dyDescent="0.15">
      <c r="A42" s="1" t="s">
        <v>41</v>
      </c>
      <c r="B42" s="1">
        <f t="shared" ref="B42:G42" si="6">B33+B38*B41</f>
        <v>0</v>
      </c>
      <c r="C42" s="1">
        <f t="shared" si="6"/>
        <v>0.15846631925459786</v>
      </c>
      <c r="D42" s="1">
        <f t="shared" si="6"/>
        <v>9.8625273883470044</v>
      </c>
      <c r="E42" s="1">
        <f t="shared" si="6"/>
        <v>19.780827716455484</v>
      </c>
      <c r="F42" s="1">
        <f t="shared" si="6"/>
        <v>20.704907597426139</v>
      </c>
      <c r="G42" s="1">
        <f t="shared" si="6"/>
        <v>16.101445564489666</v>
      </c>
      <c r="H42" s="1" t="s">
        <v>42</v>
      </c>
    </row>
    <row r="44" spans="1:8" x14ac:dyDescent="0.15">
      <c r="A44" s="1" t="s">
        <v>43</v>
      </c>
      <c r="B44" s="1">
        <f t="shared" ref="B44:G44" si="7">B35+B38*B45</f>
        <v>0</v>
      </c>
      <c r="C44" s="1">
        <f t="shared" si="7"/>
        <v>0.11251</v>
      </c>
      <c r="D44" s="1">
        <f t="shared" si="7"/>
        <v>6.8705000000000007</v>
      </c>
      <c r="E44" s="1">
        <f t="shared" si="7"/>
        <v>14.675115000000002</v>
      </c>
      <c r="F44" s="1">
        <f t="shared" si="7"/>
        <v>16.431750000000001</v>
      </c>
      <c r="G44" s="1">
        <f t="shared" si="7"/>
        <v>13.105104999999998</v>
      </c>
    </row>
    <row r="45" spans="1:8" x14ac:dyDescent="0.15">
      <c r="A45" s="1" t="s">
        <v>44</v>
      </c>
      <c r="B45" s="1">
        <f t="shared" ref="B45:G45" si="8">(B39+B40)*B32^2</f>
        <v>0</v>
      </c>
      <c r="C45" s="1">
        <f t="shared" si="8"/>
        <v>3.7999999999999999E-2</v>
      </c>
      <c r="D45" s="1">
        <f t="shared" si="8"/>
        <v>2.9</v>
      </c>
      <c r="E45" s="1">
        <f t="shared" si="8"/>
        <v>3.887</v>
      </c>
      <c r="F45" s="1">
        <f t="shared" si="8"/>
        <v>3.1499999999999995</v>
      </c>
      <c r="G45" s="1">
        <f t="shared" si="8"/>
        <v>3.5489999999999995</v>
      </c>
    </row>
    <row r="46" spans="1:8" x14ac:dyDescent="0.15">
      <c r="A46" s="1" t="s">
        <v>41</v>
      </c>
      <c r="B46" s="1">
        <f>B44*(LOG10(G9+1)/LOG10(11))</f>
        <v>0</v>
      </c>
      <c r="C46" s="1">
        <f>C44*(LOG10(G9+1)/LOG10(11))</f>
        <v>0.16112375913971413</v>
      </c>
      <c r="D46" s="1">
        <f>D44*(LOG10(G9+1)/LOG10(11))</f>
        <v>9.839132407514052</v>
      </c>
      <c r="E46" s="1">
        <f>E44*(LOG10(G9+1)/LOG10(11))</f>
        <v>21.015995863546408</v>
      </c>
      <c r="F46" s="1">
        <f>F44*(LOG10(G9+1)/LOG10(11))</f>
        <v>23.531644558208139</v>
      </c>
      <c r="G46" s="1">
        <f>G44*(LOG10(G9+1)/LOG10(11))</f>
        <v>18.767609825976919</v>
      </c>
      <c r="H46" s="1" t="s">
        <v>45</v>
      </c>
    </row>
    <row r="48" spans="1:8" x14ac:dyDescent="0.15">
      <c r="A48" s="1" t="s">
        <v>46</v>
      </c>
    </row>
    <row r="49" spans="1:8" x14ac:dyDescent="0.15">
      <c r="A49" s="1" t="s">
        <v>47</v>
      </c>
    </row>
    <row r="51" spans="1:8" x14ac:dyDescent="0.15">
      <c r="A51" s="1" t="s">
        <v>48</v>
      </c>
    </row>
    <row r="52" spans="1:8" x14ac:dyDescent="0.15">
      <c r="A52" s="1" t="s">
        <v>49</v>
      </c>
    </row>
    <row r="53" spans="1:8" x14ac:dyDescent="0.15">
      <c r="A53" s="1" t="s">
        <v>50</v>
      </c>
    </row>
    <row r="54" spans="1:8" x14ac:dyDescent="0.15">
      <c r="A54" s="1" t="s">
        <v>51</v>
      </c>
    </row>
    <row r="55" spans="1:8" x14ac:dyDescent="0.15">
      <c r="A55" s="1" t="s">
        <v>52</v>
      </c>
    </row>
    <row r="56" spans="1:8" x14ac:dyDescent="0.15">
      <c r="A56" s="1" t="s">
        <v>53</v>
      </c>
      <c r="H56" s="1" t="s">
        <v>54</v>
      </c>
    </row>
    <row r="57" spans="1:8" x14ac:dyDescent="0.15">
      <c r="A57" s="1" t="s">
        <v>55</v>
      </c>
    </row>
  </sheetData>
  <sheetProtection password="CC21" sheet="1" objects="1" scenarios="1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7"/>
  <sheetViews>
    <sheetView zoomScale="150" zoomScaleNormal="150" zoomScalePageLayoutView="150" workbookViewId="0">
      <selection activeCell="H18" sqref="H18"/>
    </sheetView>
  </sheetViews>
  <sheetFormatPr baseColWidth="10" defaultRowHeight="13" x14ac:dyDescent="0.15"/>
  <cols>
    <col min="1" max="1" width="10.83203125" style="1"/>
    <col min="2" max="2" width="6.83203125" style="1" customWidth="1"/>
    <col min="3" max="3" width="6" style="1" customWidth="1"/>
    <col min="4" max="5" width="5.83203125" style="1" customWidth="1"/>
    <col min="6" max="6" width="6.5" style="1" customWidth="1"/>
    <col min="7" max="7" width="5.83203125" style="1" customWidth="1"/>
    <col min="8" max="8" width="9.83203125" style="1" customWidth="1"/>
    <col min="9" max="9" width="8.1640625" style="1" customWidth="1"/>
    <col min="10" max="10" width="7.1640625" style="1" bestFit="1" customWidth="1"/>
    <col min="11" max="11" width="10.83203125" style="1"/>
    <col min="12" max="12" width="13.33203125" style="1" customWidth="1"/>
    <col min="13" max="16384" width="10.83203125" style="1"/>
  </cols>
  <sheetData>
    <row r="1" spans="1:10" x14ac:dyDescent="0.15">
      <c r="A1" s="1" t="s">
        <v>0</v>
      </c>
      <c r="E1" s="2"/>
      <c r="F1" s="3"/>
      <c r="G1" s="3"/>
    </row>
    <row r="2" spans="1:10" x14ac:dyDescent="0.15">
      <c r="A2" s="1" t="s">
        <v>1</v>
      </c>
      <c r="E2" s="2"/>
      <c r="F2" s="3"/>
      <c r="G2" s="3"/>
    </row>
    <row r="3" spans="1:10" x14ac:dyDescent="0.15">
      <c r="A3" s="1" t="s">
        <v>2</v>
      </c>
      <c r="E3" s="2"/>
      <c r="F3" s="3"/>
      <c r="G3" s="3"/>
    </row>
    <row r="4" spans="1:10" x14ac:dyDescent="0.15">
      <c r="A4" s="1" t="s">
        <v>3</v>
      </c>
      <c r="E4" s="2"/>
      <c r="F4" s="3"/>
      <c r="G4" s="3"/>
    </row>
    <row r="5" spans="1:10" x14ac:dyDescent="0.15">
      <c r="A5" s="1" t="s">
        <v>4</v>
      </c>
      <c r="E5" s="2"/>
      <c r="F5" s="3"/>
      <c r="G5" s="3"/>
    </row>
    <row r="6" spans="1:10" x14ac:dyDescent="0.15">
      <c r="A6" s="4" t="s">
        <v>5</v>
      </c>
      <c r="B6" s="4"/>
      <c r="C6" s="4"/>
      <c r="D6" s="4"/>
      <c r="E6" s="4"/>
    </row>
    <row r="8" spans="1:10" x14ac:dyDescent="0.15">
      <c r="A8" s="2"/>
      <c r="F8" s="1" t="s">
        <v>6</v>
      </c>
      <c r="G8" s="5">
        <f>Sheet1!B8</f>
        <v>90</v>
      </c>
      <c r="H8" s="1" t="s">
        <v>7</v>
      </c>
    </row>
    <row r="9" spans="1:10" x14ac:dyDescent="0.15">
      <c r="E9" s="1" t="s">
        <v>8</v>
      </c>
      <c r="G9" s="5">
        <f>Sheet1!B12</f>
        <v>20</v>
      </c>
      <c r="H9" s="1" t="s">
        <v>9</v>
      </c>
    </row>
    <row r="10" spans="1:10" x14ac:dyDescent="0.15">
      <c r="G10" s="6"/>
    </row>
    <row r="11" spans="1:10" x14ac:dyDescent="0.15">
      <c r="A11" s="1" t="s">
        <v>10</v>
      </c>
      <c r="G11" s="6"/>
    </row>
    <row r="12" spans="1:10" x14ac:dyDescent="0.15">
      <c r="A12" s="1" t="s">
        <v>11</v>
      </c>
      <c r="G12" s="6"/>
    </row>
    <row r="13" spans="1:10" x14ac:dyDescent="0.15">
      <c r="A13" s="1" t="s">
        <v>12</v>
      </c>
      <c r="G13" s="6"/>
    </row>
    <row r="14" spans="1:10" x14ac:dyDescent="0.15">
      <c r="A14" s="1" t="s">
        <v>13</v>
      </c>
      <c r="G14" s="6"/>
    </row>
    <row r="15" spans="1:10" x14ac:dyDescent="0.15">
      <c r="G15" s="6"/>
    </row>
    <row r="16" spans="1:10" x14ac:dyDescent="0.15">
      <c r="A16" s="1" t="s">
        <v>14</v>
      </c>
      <c r="B16" s="1">
        <v>0.5</v>
      </c>
      <c r="C16" s="1">
        <v>1</v>
      </c>
      <c r="D16" s="1">
        <v>2</v>
      </c>
      <c r="E16" s="1">
        <v>3</v>
      </c>
      <c r="F16" s="1">
        <v>4</v>
      </c>
      <c r="G16" s="1">
        <v>6</v>
      </c>
      <c r="I16" s="1" t="s">
        <v>15</v>
      </c>
      <c r="J16" s="1" t="s">
        <v>16</v>
      </c>
    </row>
    <row r="18" spans="1:10" x14ac:dyDescent="0.15">
      <c r="A18" s="1" t="s">
        <v>17</v>
      </c>
      <c r="B18" s="5">
        <f>IF(G9&gt;10,B33,B36)</f>
        <v>0</v>
      </c>
      <c r="C18" s="5">
        <f>IF(G9&gt;10,C33,C36)</f>
        <v>7.1072099696478694E-2</v>
      </c>
      <c r="D18" s="5">
        <f>IF(G9&gt;10,D33,D36)</f>
        <v>4.0867979713822766</v>
      </c>
      <c r="E18" s="5">
        <f>IF(G9&gt;10,E33,E36)</f>
        <v>10.163340562886873</v>
      </c>
      <c r="F18" s="5">
        <f>IF(G9&gt;10,F33,F36)</f>
        <v>12.943293725609895</v>
      </c>
      <c r="G18" s="5">
        <f>IF(G9&gt;10,G33,G36)</f>
        <v>8.4879776624131082</v>
      </c>
      <c r="I18" s="7">
        <f>(B18+C18+D18+E18)/4</f>
        <v>3.5803026584914068</v>
      </c>
      <c r="J18" s="7">
        <f>AVERAGE(D18:F18)</f>
        <v>9.0644774199596814</v>
      </c>
    </row>
    <row r="19" spans="1:10" x14ac:dyDescent="0.15">
      <c r="A19" s="1" t="s">
        <v>18</v>
      </c>
      <c r="B19" s="5">
        <f>IF(G9&gt;10,B42,B46)</f>
        <v>0</v>
      </c>
      <c r="C19" s="5">
        <f>IF(G9&gt;10,C42,C46)</f>
        <v>0.14150520918235468</v>
      </c>
      <c r="D19" s="5">
        <f>IF(G9&gt;10,D42,D46)</f>
        <v>8.758259102808827</v>
      </c>
      <c r="E19" s="5">
        <f>IF(G9&gt;10,E42,E46)</f>
        <v>17.896461065999915</v>
      </c>
      <c r="F19" s="5">
        <f>IF(G9&gt;10,F42,F46)</f>
        <v>19.127812269916074</v>
      </c>
      <c r="G19" s="5">
        <f>IF(G9&gt;10,G42,G46)</f>
        <v>14.995585413969629</v>
      </c>
      <c r="I19" s="7">
        <f>(B19+C19+D19+E19)/4</f>
        <v>6.6990563444977749</v>
      </c>
      <c r="J19" s="7">
        <f>AVERAGE(D19:F19)</f>
        <v>15.260844146241604</v>
      </c>
    </row>
    <row r="20" spans="1:10" x14ac:dyDescent="0.15">
      <c r="B20" s="6"/>
      <c r="C20" s="6"/>
      <c r="D20" s="6"/>
      <c r="E20" s="6"/>
      <c r="F20" s="6"/>
      <c r="G20" s="6"/>
    </row>
    <row r="21" spans="1:10" x14ac:dyDescent="0.15">
      <c r="A21" s="1" t="s">
        <v>19</v>
      </c>
      <c r="B21" s="6"/>
      <c r="C21" s="6"/>
      <c r="D21" s="6"/>
      <c r="E21" s="6"/>
      <c r="F21" s="6"/>
      <c r="G21" s="6"/>
    </row>
    <row r="22" spans="1:10" x14ac:dyDescent="0.15">
      <c r="A22" s="1" t="s">
        <v>20</v>
      </c>
      <c r="B22" s="6"/>
      <c r="C22" s="6"/>
      <c r="D22" s="6"/>
      <c r="E22" s="6"/>
      <c r="F22" s="6"/>
      <c r="G22" s="6"/>
    </row>
    <row r="23" spans="1:10" x14ac:dyDescent="0.15">
      <c r="A23" s="1" t="s">
        <v>21</v>
      </c>
      <c r="B23" s="6"/>
      <c r="C23" s="6"/>
      <c r="D23" s="6"/>
      <c r="E23" s="6"/>
      <c r="F23" s="6"/>
      <c r="G23" s="6"/>
    </row>
    <row r="24" spans="1:10" x14ac:dyDescent="0.15">
      <c r="A24" s="1" t="s">
        <v>22</v>
      </c>
    </row>
    <row r="26" spans="1:10" x14ac:dyDescent="0.15">
      <c r="A26" s="1" t="s">
        <v>23</v>
      </c>
      <c r="B26" s="1">
        <v>-3.3000000000000002E-2</v>
      </c>
      <c r="C26" s="1">
        <v>-0.02</v>
      </c>
      <c r="D26" s="1">
        <v>-4.4999999999999998E-2</v>
      </c>
      <c r="E26" s="1">
        <v>1.2E-2</v>
      </c>
      <c r="F26" s="1">
        <v>2.5000000000000001E-2</v>
      </c>
      <c r="G26" s="1">
        <v>1.9E-2</v>
      </c>
    </row>
    <row r="27" spans="1:10" x14ac:dyDescent="0.15">
      <c r="A27" s="1" t="s">
        <v>24</v>
      </c>
      <c r="B27" s="1">
        <v>0.11</v>
      </c>
      <c r="C27" s="1">
        <v>7.0000000000000007E-2</v>
      </c>
      <c r="D27" s="1">
        <v>6.6000000000000003E-2</v>
      </c>
      <c r="E27" s="1">
        <v>3.6999999999999998E-2</v>
      </c>
      <c r="F27" s="1">
        <v>2.5000000000000001E-2</v>
      </c>
      <c r="G27" s="1">
        <v>2.4E-2</v>
      </c>
    </row>
    <row r="28" spans="1:10" x14ac:dyDescent="0.15">
      <c r="A28" s="1" t="s">
        <v>25</v>
      </c>
      <c r="B28" s="1">
        <f>LOG10(G9)</f>
        <v>1.3010299956639813</v>
      </c>
      <c r="C28" s="1">
        <f t="shared" ref="C28:G29" si="0">B28</f>
        <v>1.3010299956639813</v>
      </c>
      <c r="D28" s="1">
        <f t="shared" si="0"/>
        <v>1.3010299956639813</v>
      </c>
      <c r="E28" s="1">
        <f t="shared" si="0"/>
        <v>1.3010299956639813</v>
      </c>
      <c r="F28" s="1">
        <f t="shared" si="0"/>
        <v>1.3010299956639813</v>
      </c>
      <c r="G28" s="1">
        <f t="shared" si="0"/>
        <v>1.3010299956639813</v>
      </c>
    </row>
    <row r="29" spans="1:10" x14ac:dyDescent="0.15">
      <c r="A29" s="1" t="s">
        <v>26</v>
      </c>
      <c r="B29" s="1">
        <f>G8</f>
        <v>90</v>
      </c>
      <c r="C29" s="1">
        <f t="shared" si="0"/>
        <v>90</v>
      </c>
      <c r="D29" s="1">
        <f t="shared" si="0"/>
        <v>90</v>
      </c>
      <c r="E29" s="1">
        <f t="shared" si="0"/>
        <v>90</v>
      </c>
      <c r="F29" s="1">
        <f t="shared" si="0"/>
        <v>90</v>
      </c>
      <c r="G29" s="1">
        <f t="shared" si="0"/>
        <v>90</v>
      </c>
      <c r="H29" s="1" t="s">
        <v>27</v>
      </c>
    </row>
    <row r="30" spans="1:10" x14ac:dyDescent="0.15">
      <c r="A30" s="1" t="s">
        <v>28</v>
      </c>
      <c r="B30" s="1">
        <v>93</v>
      </c>
      <c r="C30" s="1">
        <v>89</v>
      </c>
      <c r="D30" s="1">
        <v>80</v>
      </c>
      <c r="E30" s="1">
        <v>77</v>
      </c>
      <c r="F30" s="1">
        <v>75</v>
      </c>
      <c r="G30" s="1">
        <v>77</v>
      </c>
    </row>
    <row r="31" spans="1:10" x14ac:dyDescent="0.15">
      <c r="A31" s="1" t="s">
        <v>29</v>
      </c>
      <c r="B31" s="1">
        <f t="shared" ref="B31:G31" si="1">IF(B29&gt;B30,1,0)</f>
        <v>0</v>
      </c>
      <c r="C31" s="1">
        <f t="shared" si="1"/>
        <v>1</v>
      </c>
      <c r="D31" s="1">
        <f t="shared" si="1"/>
        <v>1</v>
      </c>
      <c r="E31" s="1">
        <f t="shared" si="1"/>
        <v>1</v>
      </c>
      <c r="F31" s="1">
        <f t="shared" si="1"/>
        <v>1</v>
      </c>
      <c r="G31" s="1">
        <f t="shared" si="1"/>
        <v>1</v>
      </c>
      <c r="H31" s="1" t="s">
        <v>30</v>
      </c>
    </row>
    <row r="32" spans="1:10" x14ac:dyDescent="0.15">
      <c r="A32" s="1" t="s">
        <v>31</v>
      </c>
      <c r="B32" s="1">
        <f t="shared" ref="B32:G32" si="2">(B29-B30)*B31</f>
        <v>0</v>
      </c>
      <c r="C32" s="1">
        <f t="shared" si="2"/>
        <v>1</v>
      </c>
      <c r="D32" s="1">
        <f t="shared" si="2"/>
        <v>10</v>
      </c>
      <c r="E32" s="1">
        <f t="shared" si="2"/>
        <v>13</v>
      </c>
      <c r="F32" s="1">
        <f t="shared" si="2"/>
        <v>15</v>
      </c>
      <c r="G32" s="1">
        <f t="shared" si="2"/>
        <v>13</v>
      </c>
    </row>
    <row r="33" spans="1:8" x14ac:dyDescent="0.15">
      <c r="A33" s="1" t="s">
        <v>32</v>
      </c>
      <c r="B33" s="1">
        <f t="shared" ref="B33:G33" si="3">(B26+B27*B28)*B32^2</f>
        <v>0</v>
      </c>
      <c r="C33" s="1">
        <f t="shared" si="3"/>
        <v>7.1072099696478694E-2</v>
      </c>
      <c r="D33" s="1">
        <f t="shared" si="3"/>
        <v>4.0867979713822766</v>
      </c>
      <c r="E33" s="1">
        <f t="shared" si="3"/>
        <v>10.163340562886873</v>
      </c>
      <c r="F33" s="1">
        <f t="shared" si="3"/>
        <v>12.943293725609895</v>
      </c>
      <c r="G33" s="1">
        <f t="shared" si="3"/>
        <v>8.4879776624131082</v>
      </c>
      <c r="H33" s="1" t="s">
        <v>33</v>
      </c>
    </row>
    <row r="35" spans="1:8" x14ac:dyDescent="0.15">
      <c r="A35" s="1" t="s">
        <v>34</v>
      </c>
      <c r="B35" s="1">
        <f t="shared" ref="B35:G35" si="4">(B26+B27)*B32^2</f>
        <v>0</v>
      </c>
      <c r="C35" s="1">
        <f t="shared" si="4"/>
        <v>0.05</v>
      </c>
      <c r="D35" s="1">
        <f t="shared" si="4"/>
        <v>2.1000000000000005</v>
      </c>
      <c r="E35" s="1">
        <f t="shared" si="4"/>
        <v>8.2810000000000006</v>
      </c>
      <c r="F35" s="1">
        <f t="shared" si="4"/>
        <v>11.25</v>
      </c>
      <c r="G35" s="1">
        <f t="shared" si="4"/>
        <v>7.2669999999999995</v>
      </c>
      <c r="H35" s="1" t="s">
        <v>35</v>
      </c>
    </row>
    <row r="36" spans="1:8" x14ac:dyDescent="0.15">
      <c r="A36" s="1" t="s">
        <v>32</v>
      </c>
      <c r="B36" s="1">
        <f>B35*(LOG10(G9+1)/LOG10(11))</f>
        <v>0</v>
      </c>
      <c r="C36" s="1">
        <f>C35*(LOG10(G9+1)/LOG10(11))</f>
        <v>6.3483223647428755E-2</v>
      </c>
      <c r="D36" s="1">
        <f>D35*(LOG10(G9+1)/LOG10(11))</f>
        <v>2.6662953931920086</v>
      </c>
      <c r="E36" s="1">
        <f>E35*(LOG10(G9+1)/LOG10(11))</f>
        <v>10.514091500487151</v>
      </c>
      <c r="F36" s="1">
        <f>F35*(LOG10(G9+1)/LOG10(11))</f>
        <v>14.28372532067147</v>
      </c>
      <c r="G36" s="1">
        <f>G35*(LOG10(G9+1)/LOG10(11))</f>
        <v>9.2266517249172946</v>
      </c>
      <c r="H36" s="1" t="s">
        <v>36</v>
      </c>
    </row>
    <row r="38" spans="1:8" x14ac:dyDescent="0.15">
      <c r="A38" s="1" t="s">
        <v>37</v>
      </c>
      <c r="B38" s="1">
        <v>1.645</v>
      </c>
      <c r="C38" s="1">
        <v>1.645</v>
      </c>
      <c r="D38" s="1">
        <v>1.645</v>
      </c>
      <c r="E38" s="1">
        <v>1.645</v>
      </c>
      <c r="F38" s="1">
        <v>1.645</v>
      </c>
      <c r="G38" s="1">
        <v>1.645</v>
      </c>
    </row>
    <row r="39" spans="1:8" x14ac:dyDescent="0.15">
      <c r="A39" s="1" t="s">
        <v>38</v>
      </c>
      <c r="B39" s="1">
        <v>4.3999999999999997E-2</v>
      </c>
      <c r="C39" s="1">
        <v>2.1999999999999999E-2</v>
      </c>
      <c r="D39" s="1">
        <v>3.1E-2</v>
      </c>
      <c r="E39" s="1">
        <v>7.0000000000000001E-3</v>
      </c>
      <c r="F39" s="1">
        <v>5.0000000000000001E-3</v>
      </c>
      <c r="G39" s="1">
        <v>1.2999999999999999E-2</v>
      </c>
    </row>
    <row r="40" spans="1:8" x14ac:dyDescent="0.15">
      <c r="A40" s="1" t="s">
        <v>39</v>
      </c>
      <c r="B40" s="1">
        <v>1.6E-2</v>
      </c>
      <c r="C40" s="1">
        <v>1.6E-2</v>
      </c>
      <c r="D40" s="1">
        <v>-2E-3</v>
      </c>
      <c r="E40" s="1">
        <v>1.6E-2</v>
      </c>
      <c r="F40" s="1">
        <v>8.9999999999999993E-3</v>
      </c>
      <c r="G40" s="1">
        <v>8.0000000000000002E-3</v>
      </c>
    </row>
    <row r="41" spans="1:8" x14ac:dyDescent="0.15">
      <c r="A41" s="1" t="s">
        <v>40</v>
      </c>
      <c r="B41" s="1">
        <f t="shared" ref="B41:G41" si="5">(B39+B40*B28)*B32^2</f>
        <v>0</v>
      </c>
      <c r="C41" s="1">
        <f t="shared" si="5"/>
        <v>4.2816479930623701E-2</v>
      </c>
      <c r="D41" s="1">
        <f t="shared" si="5"/>
        <v>2.839794000867204</v>
      </c>
      <c r="E41" s="1">
        <f t="shared" si="5"/>
        <v>4.7009851082754057</v>
      </c>
      <c r="F41" s="1">
        <f t="shared" si="5"/>
        <v>3.7595857412195617</v>
      </c>
      <c r="G41" s="1">
        <f t="shared" si="5"/>
        <v>3.9559925541377026</v>
      </c>
    </row>
    <row r="42" spans="1:8" x14ac:dyDescent="0.15">
      <c r="A42" s="1" t="s">
        <v>41</v>
      </c>
      <c r="B42" s="1">
        <f t="shared" ref="B42:G42" si="6">B33+B38*B41</f>
        <v>0</v>
      </c>
      <c r="C42" s="1">
        <f t="shared" si="6"/>
        <v>0.14150520918235468</v>
      </c>
      <c r="D42" s="1">
        <f t="shared" si="6"/>
        <v>8.758259102808827</v>
      </c>
      <c r="E42" s="1">
        <f t="shared" si="6"/>
        <v>17.896461065999915</v>
      </c>
      <c r="F42" s="1">
        <f t="shared" si="6"/>
        <v>19.127812269916074</v>
      </c>
      <c r="G42" s="1">
        <f t="shared" si="6"/>
        <v>14.995585413969629</v>
      </c>
      <c r="H42" s="1" t="s">
        <v>42</v>
      </c>
    </row>
    <row r="44" spans="1:8" x14ac:dyDescent="0.15">
      <c r="A44" s="1" t="s">
        <v>43</v>
      </c>
      <c r="B44" s="1">
        <f t="shared" ref="B44:G44" si="7">B35+B38*B45</f>
        <v>0</v>
      </c>
      <c r="C44" s="1">
        <f t="shared" si="7"/>
        <v>0.11251</v>
      </c>
      <c r="D44" s="1">
        <f t="shared" si="7"/>
        <v>6.8705000000000007</v>
      </c>
      <c r="E44" s="1">
        <f t="shared" si="7"/>
        <v>14.675115000000002</v>
      </c>
      <c r="F44" s="1">
        <f t="shared" si="7"/>
        <v>16.431750000000001</v>
      </c>
      <c r="G44" s="1">
        <f t="shared" si="7"/>
        <v>13.105104999999998</v>
      </c>
    </row>
    <row r="45" spans="1:8" x14ac:dyDescent="0.15">
      <c r="A45" s="1" t="s">
        <v>44</v>
      </c>
      <c r="B45" s="1">
        <f t="shared" ref="B45:G45" si="8">(B39+B40)*B32^2</f>
        <v>0</v>
      </c>
      <c r="C45" s="1">
        <f t="shared" si="8"/>
        <v>3.7999999999999999E-2</v>
      </c>
      <c r="D45" s="1">
        <f t="shared" si="8"/>
        <v>2.9</v>
      </c>
      <c r="E45" s="1">
        <f t="shared" si="8"/>
        <v>3.887</v>
      </c>
      <c r="F45" s="1">
        <f t="shared" si="8"/>
        <v>3.1499999999999995</v>
      </c>
      <c r="G45" s="1">
        <f t="shared" si="8"/>
        <v>3.5489999999999995</v>
      </c>
    </row>
    <row r="46" spans="1:8" x14ac:dyDescent="0.15">
      <c r="A46" s="1" t="s">
        <v>41</v>
      </c>
      <c r="B46" s="1">
        <f>B44*(LOG10(G9+1)/LOG10(11))</f>
        <v>0</v>
      </c>
      <c r="C46" s="1">
        <f>C44*(LOG10(G9+1)/LOG10(11))</f>
        <v>0.14284994985144417</v>
      </c>
      <c r="D46" s="1">
        <f>D44*(LOG10(G9+1)/LOG10(11))</f>
        <v>8.7232297613931866</v>
      </c>
      <c r="E46" s="1">
        <f>E44*(LOG10(G9+1)/LOG10(11))</f>
        <v>18.632472151934731</v>
      </c>
      <c r="F46" s="1">
        <f>F44*(LOG10(G9+1)/LOG10(11))</f>
        <v>20.862809203372748</v>
      </c>
      <c r="G46" s="1">
        <f>G44*(LOG10(G9+1)/LOG10(11))</f>
        <v>16.639086232760732</v>
      </c>
      <c r="H46" s="1" t="s">
        <v>45</v>
      </c>
    </row>
    <row r="48" spans="1:8" x14ac:dyDescent="0.15">
      <c r="A48" s="1" t="s">
        <v>46</v>
      </c>
    </row>
    <row r="49" spans="1:8" x14ac:dyDescent="0.15">
      <c r="A49" s="1" t="s">
        <v>47</v>
      </c>
    </row>
    <row r="51" spans="1:8" x14ac:dyDescent="0.15">
      <c r="A51" s="1" t="s">
        <v>48</v>
      </c>
    </row>
    <row r="52" spans="1:8" x14ac:dyDescent="0.15">
      <c r="A52" s="1" t="s">
        <v>49</v>
      </c>
    </row>
    <row r="53" spans="1:8" x14ac:dyDescent="0.15">
      <c r="A53" s="1" t="s">
        <v>50</v>
      </c>
    </row>
    <row r="54" spans="1:8" x14ac:dyDescent="0.15">
      <c r="A54" s="1" t="s">
        <v>51</v>
      </c>
    </row>
    <row r="55" spans="1:8" x14ac:dyDescent="0.15">
      <c r="A55" s="1" t="s">
        <v>52</v>
      </c>
    </row>
    <row r="56" spans="1:8" x14ac:dyDescent="0.15">
      <c r="A56" s="1" t="s">
        <v>53</v>
      </c>
      <c r="H56" s="1" t="s">
        <v>54</v>
      </c>
    </row>
    <row r="57" spans="1:8" x14ac:dyDescent="0.15">
      <c r="A57" s="1" t="s">
        <v>55</v>
      </c>
    </row>
  </sheetData>
  <sheetProtection password="CC21" sheet="1" objects="1" scenarios="1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zoomScale="150" zoomScaleNormal="150" zoomScalePageLayoutView="150" workbookViewId="0">
      <selection activeCell="M14" sqref="M14"/>
    </sheetView>
  </sheetViews>
  <sheetFormatPr baseColWidth="10" defaultColWidth="8.83203125" defaultRowHeight="13" x14ac:dyDescent="0.15"/>
  <cols>
    <col min="1" max="1" width="8.83203125" style="8" customWidth="1"/>
    <col min="2" max="2" width="5.83203125" style="8" customWidth="1"/>
    <col min="3" max="3" width="7.1640625" style="8" bestFit="1" customWidth="1"/>
    <col min="4" max="4" width="6.6640625" style="8" customWidth="1"/>
    <col min="5" max="5" width="5.5" style="8" customWidth="1"/>
    <col min="6" max="6" width="7.1640625" style="8" bestFit="1" customWidth="1"/>
    <col min="7" max="7" width="7.5" style="8" customWidth="1"/>
    <col min="8" max="8" width="6" style="8" customWidth="1"/>
    <col min="9" max="9" width="7.1640625" style="8" bestFit="1" customWidth="1"/>
    <col min="10" max="10" width="6.6640625" style="8" bestFit="1" customWidth="1"/>
    <col min="11" max="11" width="1.1640625" style="8" customWidth="1"/>
    <col min="12" max="12" width="7.1640625" style="8" bestFit="1" customWidth="1"/>
    <col min="13" max="13" width="6.6640625" style="8" bestFit="1" customWidth="1"/>
    <col min="14" max="14" width="1.83203125" style="8" customWidth="1"/>
    <col min="15" max="15" width="7.1640625" style="8" bestFit="1" customWidth="1"/>
    <col min="16" max="16" width="6.6640625" style="8" bestFit="1" customWidth="1"/>
    <col min="17" max="17" width="8.83203125" style="8" customWidth="1"/>
    <col min="18" max="18" width="9" style="8" customWidth="1"/>
    <col min="19" max="16384" width="8.83203125" style="8"/>
  </cols>
  <sheetData>
    <row r="1" spans="1:10" x14ac:dyDescent="0.15">
      <c r="A1" s="8" t="s">
        <v>56</v>
      </c>
    </row>
    <row r="2" spans="1:10" x14ac:dyDescent="0.15">
      <c r="A2" s="8" t="s">
        <v>57</v>
      </c>
    </row>
    <row r="3" spans="1:10" x14ac:dyDescent="0.15">
      <c r="A3" s="8" t="s">
        <v>58</v>
      </c>
    </row>
    <row r="4" spans="1:10" x14ac:dyDescent="0.15">
      <c r="A4" s="8" t="s">
        <v>59</v>
      </c>
    </row>
    <row r="6" spans="1:10" x14ac:dyDescent="0.15">
      <c r="D6" s="8" t="s">
        <v>60</v>
      </c>
      <c r="G6" s="8" t="s">
        <v>61</v>
      </c>
      <c r="J6" s="8" t="s">
        <v>62</v>
      </c>
    </row>
    <row r="7" spans="1:10" x14ac:dyDescent="0.15">
      <c r="A7" s="8" t="s">
        <v>63</v>
      </c>
      <c r="B7" s="8" t="s">
        <v>64</v>
      </c>
      <c r="D7" s="8" t="s">
        <v>65</v>
      </c>
      <c r="E7" s="8" t="s">
        <v>66</v>
      </c>
      <c r="G7" s="8" t="s">
        <v>67</v>
      </c>
      <c r="H7" s="8" t="s">
        <v>66</v>
      </c>
      <c r="J7" s="8" t="s">
        <v>68</v>
      </c>
    </row>
    <row r="8" spans="1:10" x14ac:dyDescent="0.15">
      <c r="A8" s="8" t="s">
        <v>69</v>
      </c>
      <c r="B8" s="9">
        <f>Sheet1!B6</f>
        <v>60</v>
      </c>
      <c r="C8" s="10"/>
      <c r="D8" s="9">
        <f>4.9643-0.1871*B8+0.0061*(B8^2)</f>
        <v>15.698300000000001</v>
      </c>
      <c r="E8" s="9">
        <f>0.3+0.565*B8+0.0025*B8^2</f>
        <v>43.199999999999996</v>
      </c>
      <c r="G8" s="11">
        <f>0.0114*B8^2-0.3762*B8+6.0191</f>
        <v>24.487099999999998</v>
      </c>
      <c r="H8" s="11">
        <f>1.15*B8-7.5667</f>
        <v>61.433300000000003</v>
      </c>
    </row>
    <row r="9" spans="1:10" x14ac:dyDescent="0.15">
      <c r="A9" s="8" t="s">
        <v>70</v>
      </c>
      <c r="B9" s="9">
        <f>Sheet1!B6</f>
        <v>60</v>
      </c>
      <c r="D9" s="9">
        <f>10.264-0.4196*B9+0.0073*(B9^2)</f>
        <v>11.368000000000002</v>
      </c>
      <c r="E9" s="9">
        <f>2.95+0.3075*B9+0.0037*B9^2</f>
        <v>34.72</v>
      </c>
      <c r="G9" s="11">
        <f>0.000222*B9^3- 0.0226*B9^2+0.9563*B9-10.99</f>
        <v>12.979999999999999</v>
      </c>
      <c r="H9" s="11">
        <f>0.86*B9-11.733</f>
        <v>39.867000000000004</v>
      </c>
    </row>
    <row r="11" spans="1:10" x14ac:dyDescent="0.15">
      <c r="A11" s="8" t="s">
        <v>71</v>
      </c>
    </row>
    <row r="12" spans="1:10" x14ac:dyDescent="0.15">
      <c r="A12" s="8" t="s">
        <v>72</v>
      </c>
    </row>
    <row r="13" spans="1:10" x14ac:dyDescent="0.15">
      <c r="A13" s="8" t="s">
        <v>73</v>
      </c>
    </row>
    <row r="14" spans="1:10" x14ac:dyDescent="0.15">
      <c r="A14" s="8" t="s">
        <v>74</v>
      </c>
    </row>
    <row r="16" spans="1:10" x14ac:dyDescent="0.15">
      <c r="H16" s="8" t="s">
        <v>75</v>
      </c>
    </row>
    <row r="17" spans="1:16" x14ac:dyDescent="0.15">
      <c r="A17" s="8" t="s">
        <v>76</v>
      </c>
      <c r="C17" s="8" t="s">
        <v>77</v>
      </c>
      <c r="F17" s="8" t="s">
        <v>78</v>
      </c>
      <c r="I17" s="8" t="s">
        <v>79</v>
      </c>
      <c r="L17" s="8" t="s">
        <v>80</v>
      </c>
      <c r="O17" s="8" t="s">
        <v>81</v>
      </c>
    </row>
    <row r="18" spans="1:16" x14ac:dyDescent="0.15">
      <c r="C18" s="8" t="s">
        <v>65</v>
      </c>
      <c r="D18" s="8" t="s">
        <v>66</v>
      </c>
      <c r="F18" s="8" t="s">
        <v>65</v>
      </c>
      <c r="G18" s="8" t="s">
        <v>66</v>
      </c>
      <c r="I18" s="8" t="s">
        <v>65</v>
      </c>
      <c r="J18" s="8" t="s">
        <v>66</v>
      </c>
      <c r="L18" s="8" t="s">
        <v>65</v>
      </c>
      <c r="M18" s="8" t="s">
        <v>66</v>
      </c>
      <c r="O18" s="8" t="s">
        <v>65</v>
      </c>
      <c r="P18" s="8" t="s">
        <v>66</v>
      </c>
    </row>
    <row r="19" spans="1:16" x14ac:dyDescent="0.15">
      <c r="A19" s="8" t="s">
        <v>82</v>
      </c>
    </row>
    <row r="20" spans="1:16" x14ac:dyDescent="0.15">
      <c r="A20" s="12">
        <v>0.5</v>
      </c>
      <c r="C20" s="13">
        <v>7</v>
      </c>
      <c r="D20" s="13">
        <v>20</v>
      </c>
      <c r="E20" s="12"/>
      <c r="F20" s="13">
        <v>8</v>
      </c>
      <c r="G20" s="13">
        <v>22</v>
      </c>
      <c r="H20" s="12"/>
      <c r="I20" s="13">
        <v>10</v>
      </c>
      <c r="J20" s="13">
        <v>24</v>
      </c>
      <c r="K20" s="12"/>
      <c r="L20" s="13">
        <v>11</v>
      </c>
      <c r="M20" s="13">
        <v>29</v>
      </c>
      <c r="N20" s="12"/>
      <c r="O20" s="13">
        <v>15</v>
      </c>
      <c r="P20" s="13">
        <v>35</v>
      </c>
    </row>
    <row r="21" spans="1:16" x14ac:dyDescent="0.15">
      <c r="A21" s="12">
        <v>1</v>
      </c>
      <c r="C21" s="14">
        <v>4</v>
      </c>
      <c r="D21" s="14">
        <v>17</v>
      </c>
      <c r="E21" s="12"/>
      <c r="F21" s="14">
        <v>6</v>
      </c>
      <c r="G21" s="14">
        <v>21</v>
      </c>
      <c r="H21" s="12"/>
      <c r="I21" s="14">
        <v>9</v>
      </c>
      <c r="J21" s="14">
        <v>24</v>
      </c>
      <c r="K21" s="12"/>
      <c r="L21" s="14">
        <v>11</v>
      </c>
      <c r="M21" s="14">
        <v>32</v>
      </c>
      <c r="N21" s="12"/>
      <c r="O21" s="14">
        <v>14</v>
      </c>
      <c r="P21" s="14">
        <v>39</v>
      </c>
    </row>
    <row r="22" spans="1:16" x14ac:dyDescent="0.15">
      <c r="A22" s="12">
        <v>2</v>
      </c>
      <c r="C22" s="14">
        <v>4</v>
      </c>
      <c r="D22" s="14">
        <v>19</v>
      </c>
      <c r="E22" s="12"/>
      <c r="F22" s="14">
        <v>6</v>
      </c>
      <c r="G22" s="14">
        <v>24</v>
      </c>
      <c r="H22" s="12"/>
      <c r="I22" s="14">
        <v>10</v>
      </c>
      <c r="J22" s="14">
        <v>34</v>
      </c>
      <c r="K22" s="12"/>
      <c r="L22" s="14">
        <v>14</v>
      </c>
      <c r="M22" s="14">
        <v>50</v>
      </c>
      <c r="N22" s="12"/>
      <c r="O22" s="14">
        <v>21</v>
      </c>
      <c r="P22" s="14">
        <v>61</v>
      </c>
    </row>
    <row r="23" spans="1:16" x14ac:dyDescent="0.15">
      <c r="A23" s="12">
        <v>3</v>
      </c>
      <c r="C23" s="14">
        <v>4</v>
      </c>
      <c r="D23" s="14">
        <v>23</v>
      </c>
      <c r="E23" s="12"/>
      <c r="F23" s="14">
        <v>9</v>
      </c>
      <c r="G23" s="14">
        <v>39</v>
      </c>
      <c r="H23" s="12"/>
      <c r="I23" s="14">
        <v>15</v>
      </c>
      <c r="J23" s="14">
        <v>56</v>
      </c>
      <c r="K23" s="12"/>
      <c r="L23" s="14">
        <v>25</v>
      </c>
      <c r="M23" s="14">
        <v>65</v>
      </c>
      <c r="N23" s="12"/>
      <c r="O23" s="14">
        <v>37</v>
      </c>
      <c r="P23" s="14">
        <v>72</v>
      </c>
    </row>
    <row r="24" spans="1:16" x14ac:dyDescent="0.15">
      <c r="A24" s="12">
        <v>4</v>
      </c>
      <c r="C24" s="14">
        <v>7</v>
      </c>
      <c r="D24" s="14">
        <v>34</v>
      </c>
      <c r="E24" s="12"/>
      <c r="F24" s="14">
        <v>13</v>
      </c>
      <c r="G24" s="14">
        <v>53</v>
      </c>
      <c r="H24" s="12"/>
      <c r="I24" s="14">
        <v>22</v>
      </c>
      <c r="J24" s="14">
        <v>67</v>
      </c>
      <c r="K24" s="12"/>
      <c r="L24" s="14">
        <v>35</v>
      </c>
      <c r="M24" s="14">
        <v>72</v>
      </c>
      <c r="N24" s="12"/>
      <c r="O24" s="14">
        <v>49</v>
      </c>
      <c r="P24" s="14">
        <v>80</v>
      </c>
    </row>
    <row r="25" spans="1:16" x14ac:dyDescent="0.15">
      <c r="A25" s="12">
        <v>6</v>
      </c>
      <c r="C25" s="14">
        <v>11</v>
      </c>
      <c r="D25" s="14">
        <v>34</v>
      </c>
      <c r="E25" s="12"/>
      <c r="F25" s="14">
        <v>17</v>
      </c>
      <c r="G25" s="14">
        <v>57</v>
      </c>
      <c r="H25" s="12"/>
      <c r="I25" s="14">
        <v>25</v>
      </c>
      <c r="J25" s="14">
        <v>75</v>
      </c>
      <c r="K25" s="12"/>
      <c r="L25" s="14">
        <v>40</v>
      </c>
      <c r="M25" s="14">
        <v>79</v>
      </c>
      <c r="N25" s="12"/>
      <c r="O25" s="14">
        <v>56</v>
      </c>
      <c r="P25" s="14">
        <v>93</v>
      </c>
    </row>
    <row r="26" spans="1:16" x14ac:dyDescent="0.15">
      <c r="A26" s="12">
        <v>8</v>
      </c>
      <c r="C26" s="14">
        <v>8</v>
      </c>
      <c r="D26" s="14">
        <v>30</v>
      </c>
      <c r="E26" s="12"/>
      <c r="F26" s="14">
        <v>14</v>
      </c>
      <c r="G26" s="14">
        <v>57</v>
      </c>
      <c r="H26" s="12"/>
      <c r="I26" s="14">
        <v>23</v>
      </c>
      <c r="J26" s="14">
        <v>74</v>
      </c>
      <c r="K26" s="12"/>
      <c r="L26" s="14">
        <v>42</v>
      </c>
      <c r="M26" s="14">
        <v>84</v>
      </c>
      <c r="N26" s="12"/>
      <c r="O26" s="14">
        <v>60</v>
      </c>
      <c r="P26" s="14">
        <v>93</v>
      </c>
    </row>
    <row r="27" spans="1:16" x14ac:dyDescent="0.15">
      <c r="C27" s="15"/>
      <c r="D27" s="15"/>
      <c r="E27" s="12"/>
      <c r="F27" s="15"/>
      <c r="G27" s="15"/>
      <c r="H27" s="12"/>
      <c r="I27" s="15"/>
      <c r="J27" s="15"/>
      <c r="K27" s="12"/>
      <c r="L27" s="15"/>
      <c r="M27" s="15"/>
      <c r="N27" s="12"/>
      <c r="O27" s="12"/>
      <c r="P27" s="12"/>
    </row>
    <row r="28" spans="1:16" x14ac:dyDescent="0.15">
      <c r="A28" s="8" t="s">
        <v>83</v>
      </c>
      <c r="C28" s="12"/>
      <c r="D28" s="12"/>
      <c r="E28" s="12"/>
      <c r="F28" s="12"/>
      <c r="G28" s="12"/>
      <c r="H28" s="12"/>
      <c r="I28" s="12"/>
      <c r="J28" s="16"/>
      <c r="K28" s="12"/>
      <c r="L28" s="12"/>
      <c r="M28" s="12"/>
      <c r="N28" s="12"/>
      <c r="O28" s="12"/>
      <c r="P28" s="12"/>
    </row>
    <row r="29" spans="1:16" x14ac:dyDescent="0.15">
      <c r="A29" s="8">
        <v>0.5</v>
      </c>
      <c r="C29" s="13">
        <v>7</v>
      </c>
      <c r="D29" s="13">
        <v>20</v>
      </c>
      <c r="E29" s="12"/>
      <c r="F29" s="13">
        <v>7</v>
      </c>
      <c r="G29" s="13">
        <v>24</v>
      </c>
      <c r="H29" s="12"/>
      <c r="I29" s="13">
        <v>9</v>
      </c>
      <c r="J29" s="13">
        <v>26</v>
      </c>
      <c r="K29" s="12"/>
      <c r="L29" s="13">
        <v>13</v>
      </c>
      <c r="M29" s="13">
        <v>35</v>
      </c>
      <c r="N29" s="12"/>
      <c r="O29" s="13">
        <v>17</v>
      </c>
      <c r="P29" s="13">
        <v>44</v>
      </c>
    </row>
    <row r="30" spans="1:16" x14ac:dyDescent="0.15">
      <c r="A30" s="8">
        <v>1</v>
      </c>
      <c r="C30" s="14">
        <v>4</v>
      </c>
      <c r="D30" s="14">
        <v>15</v>
      </c>
      <c r="E30" s="12"/>
      <c r="F30" s="14">
        <v>5</v>
      </c>
      <c r="G30" s="14">
        <v>20</v>
      </c>
      <c r="H30" s="12"/>
      <c r="I30" s="14">
        <v>7</v>
      </c>
      <c r="J30" s="14">
        <v>23</v>
      </c>
      <c r="K30" s="12"/>
      <c r="L30" s="14">
        <v>10</v>
      </c>
      <c r="M30" s="14">
        <v>34</v>
      </c>
      <c r="N30" s="12"/>
      <c r="O30" s="14">
        <v>13</v>
      </c>
      <c r="P30" s="14">
        <v>37</v>
      </c>
    </row>
    <row r="31" spans="1:16" x14ac:dyDescent="0.15">
      <c r="A31" s="8">
        <v>2</v>
      </c>
      <c r="C31" s="14">
        <v>4</v>
      </c>
      <c r="D31" s="14">
        <v>14</v>
      </c>
      <c r="E31" s="12"/>
      <c r="F31" s="14">
        <v>5</v>
      </c>
      <c r="G31" s="14">
        <v>21</v>
      </c>
      <c r="H31" s="12"/>
      <c r="I31" s="14">
        <v>7</v>
      </c>
      <c r="J31" s="14">
        <v>27</v>
      </c>
      <c r="K31" s="12"/>
      <c r="L31" s="14">
        <v>11</v>
      </c>
      <c r="M31" s="14">
        <v>37</v>
      </c>
      <c r="N31" s="12"/>
      <c r="O31" s="14">
        <v>17</v>
      </c>
      <c r="P31" s="14">
        <v>40</v>
      </c>
    </row>
    <row r="32" spans="1:16" x14ac:dyDescent="0.15">
      <c r="A32" s="8">
        <v>3</v>
      </c>
      <c r="C32" s="14">
        <v>2</v>
      </c>
      <c r="D32" s="14">
        <v>14</v>
      </c>
      <c r="E32" s="12"/>
      <c r="F32" s="14">
        <v>4</v>
      </c>
      <c r="G32" s="14">
        <v>21</v>
      </c>
      <c r="H32" s="12"/>
      <c r="I32" s="14">
        <v>7</v>
      </c>
      <c r="J32" s="14">
        <v>27</v>
      </c>
      <c r="K32" s="12"/>
      <c r="L32" s="14">
        <v>12</v>
      </c>
      <c r="M32" s="14">
        <v>43</v>
      </c>
      <c r="N32" s="12"/>
      <c r="O32" s="14">
        <v>20</v>
      </c>
      <c r="P32" s="14">
        <v>47</v>
      </c>
    </row>
    <row r="33" spans="1:16" x14ac:dyDescent="0.15">
      <c r="A33" s="8">
        <v>4</v>
      </c>
      <c r="C33" s="14">
        <v>4</v>
      </c>
      <c r="D33" s="14">
        <v>16</v>
      </c>
      <c r="E33" s="12"/>
      <c r="F33" s="14">
        <v>7</v>
      </c>
      <c r="G33" s="14">
        <v>25</v>
      </c>
      <c r="H33" s="12"/>
      <c r="I33" s="14">
        <v>10</v>
      </c>
      <c r="J33" s="14">
        <v>32</v>
      </c>
      <c r="K33" s="12"/>
      <c r="L33" s="14">
        <v>16</v>
      </c>
      <c r="M33" s="14">
        <v>51</v>
      </c>
      <c r="N33" s="12"/>
      <c r="O33" s="14">
        <v>27</v>
      </c>
      <c r="P33" s="14">
        <v>54</v>
      </c>
    </row>
    <row r="34" spans="1:16" x14ac:dyDescent="0.15">
      <c r="A34" s="8">
        <v>6</v>
      </c>
      <c r="C34" s="14">
        <v>10</v>
      </c>
      <c r="D34" s="14">
        <v>26</v>
      </c>
      <c r="E34" s="12"/>
      <c r="F34" s="14">
        <v>12</v>
      </c>
      <c r="G34" s="14">
        <v>31</v>
      </c>
      <c r="H34" s="12"/>
      <c r="I34" s="14">
        <v>17</v>
      </c>
      <c r="J34" s="14">
        <v>40</v>
      </c>
      <c r="K34" s="12"/>
      <c r="L34" s="14">
        <v>24</v>
      </c>
      <c r="M34" s="14">
        <v>58</v>
      </c>
      <c r="N34" s="12"/>
      <c r="O34" s="14">
        <v>37</v>
      </c>
      <c r="P34" s="14">
        <v>66</v>
      </c>
    </row>
    <row r="35" spans="1:16" x14ac:dyDescent="0.15">
      <c r="A35" s="8">
        <v>8</v>
      </c>
      <c r="C35" s="14">
        <v>7</v>
      </c>
      <c r="D35" s="14">
        <v>22</v>
      </c>
      <c r="E35" s="12"/>
      <c r="F35" s="14">
        <v>10</v>
      </c>
      <c r="G35" s="14">
        <v>31</v>
      </c>
      <c r="H35" s="12"/>
      <c r="I35" s="14">
        <v>16</v>
      </c>
      <c r="J35" s="14">
        <v>48</v>
      </c>
      <c r="K35" s="12"/>
      <c r="L35" s="14">
        <v>26</v>
      </c>
      <c r="M35" s="14">
        <v>66</v>
      </c>
      <c r="N35" s="12"/>
      <c r="O35" s="14">
        <v>48</v>
      </c>
      <c r="P35" s="14">
        <v>81</v>
      </c>
    </row>
    <row r="37" spans="1:16" x14ac:dyDescent="0.15">
      <c r="A37" s="8" t="s">
        <v>84</v>
      </c>
    </row>
    <row r="38" spans="1:16" x14ac:dyDescent="0.15">
      <c r="A38" s="8" t="s">
        <v>69</v>
      </c>
      <c r="C38" s="8">
        <f>(C20+C21+C22+C23)/4</f>
        <v>4.75</v>
      </c>
      <c r="D38" s="8">
        <f t="shared" ref="D38:M38" si="0">(D20+D21+D22+D23)/4</f>
        <v>19.75</v>
      </c>
      <c r="F38" s="8">
        <f t="shared" si="0"/>
        <v>7.25</v>
      </c>
      <c r="G38" s="8">
        <f t="shared" si="0"/>
        <v>26.5</v>
      </c>
      <c r="I38" s="8">
        <f t="shared" si="0"/>
        <v>11</v>
      </c>
      <c r="J38" s="8">
        <f t="shared" si="0"/>
        <v>34.5</v>
      </c>
      <c r="L38" s="8">
        <f t="shared" si="0"/>
        <v>15.25</v>
      </c>
      <c r="M38" s="8">
        <f t="shared" si="0"/>
        <v>44</v>
      </c>
      <c r="O38" s="8">
        <f>(O20+O21+O22+O23)/4</f>
        <v>21.75</v>
      </c>
      <c r="P38" s="8">
        <f>(P20+P21+P22+P23)/4</f>
        <v>51.75</v>
      </c>
    </row>
    <row r="39" spans="1:16" x14ac:dyDescent="0.15">
      <c r="A39" s="8" t="s">
        <v>70</v>
      </c>
      <c r="C39" s="8">
        <f>(C29+C30+C31+C32)/4</f>
        <v>4.25</v>
      </c>
      <c r="D39" s="8">
        <f t="shared" ref="D39:M39" si="1">(D29+D30+D31+D32)/4</f>
        <v>15.75</v>
      </c>
      <c r="F39" s="8">
        <f t="shared" si="1"/>
        <v>5.25</v>
      </c>
      <c r="G39" s="8">
        <f t="shared" si="1"/>
        <v>21.5</v>
      </c>
      <c r="I39" s="8">
        <f t="shared" si="1"/>
        <v>7.5</v>
      </c>
      <c r="J39" s="8">
        <f t="shared" si="1"/>
        <v>25.75</v>
      </c>
      <c r="L39" s="8">
        <f t="shared" si="1"/>
        <v>11.5</v>
      </c>
      <c r="M39" s="8">
        <f t="shared" si="1"/>
        <v>37.25</v>
      </c>
      <c r="O39" s="8">
        <f>(O29+O30+O31+O32)/4</f>
        <v>16.75</v>
      </c>
      <c r="P39" s="8">
        <f>(P29+P30+P31+P32)/4</f>
        <v>42</v>
      </c>
    </row>
    <row r="41" spans="1:16" x14ac:dyDescent="0.15">
      <c r="A41" s="8" t="s">
        <v>85</v>
      </c>
    </row>
    <row r="42" spans="1:16" x14ac:dyDescent="0.15">
      <c r="A42" s="8" t="s">
        <v>69</v>
      </c>
      <c r="C42" s="17">
        <f>AVERAGE(C22:C24)</f>
        <v>5</v>
      </c>
      <c r="D42" s="17">
        <f t="shared" ref="D42:P42" si="2">AVERAGE(D22:D24)</f>
        <v>25.333333333333332</v>
      </c>
      <c r="E42" s="17"/>
      <c r="F42" s="17">
        <f t="shared" si="2"/>
        <v>9.3333333333333339</v>
      </c>
      <c r="G42" s="17">
        <f t="shared" si="2"/>
        <v>38.666666666666664</v>
      </c>
      <c r="H42" s="17"/>
      <c r="I42" s="17">
        <f t="shared" si="2"/>
        <v>15.666666666666666</v>
      </c>
      <c r="J42" s="17">
        <f t="shared" si="2"/>
        <v>52.333333333333336</v>
      </c>
      <c r="L42" s="17">
        <f t="shared" si="2"/>
        <v>24.666666666666668</v>
      </c>
      <c r="M42" s="17">
        <f t="shared" si="2"/>
        <v>62.333333333333336</v>
      </c>
      <c r="O42" s="17">
        <f t="shared" si="2"/>
        <v>35.666666666666664</v>
      </c>
      <c r="P42" s="17">
        <f t="shared" si="2"/>
        <v>71</v>
      </c>
    </row>
    <row r="43" spans="1:16" x14ac:dyDescent="0.15">
      <c r="A43" s="8" t="s">
        <v>70</v>
      </c>
      <c r="C43" s="17">
        <f>AVERAGE(C31:C33)</f>
        <v>3.3333333333333335</v>
      </c>
      <c r="D43" s="17">
        <f t="shared" ref="D43:P43" si="3">AVERAGE(D31:D33)</f>
        <v>14.666666666666666</v>
      </c>
      <c r="E43" s="17"/>
      <c r="F43" s="17">
        <f t="shared" si="3"/>
        <v>5.333333333333333</v>
      </c>
      <c r="G43" s="17">
        <f t="shared" si="3"/>
        <v>22.333333333333332</v>
      </c>
      <c r="H43" s="17"/>
      <c r="I43" s="17">
        <f t="shared" si="3"/>
        <v>8</v>
      </c>
      <c r="J43" s="17">
        <f t="shared" si="3"/>
        <v>28.666666666666668</v>
      </c>
      <c r="L43" s="17">
        <f t="shared" si="3"/>
        <v>13</v>
      </c>
      <c r="M43" s="17">
        <f t="shared" si="3"/>
        <v>43.666666666666664</v>
      </c>
      <c r="O43" s="17">
        <f t="shared" si="3"/>
        <v>21.333333333333332</v>
      </c>
      <c r="P43" s="17">
        <f t="shared" si="3"/>
        <v>47</v>
      </c>
    </row>
  </sheetData>
  <sheetProtection sheet="1" objects="1" scenarios="1"/>
  <pageMargins left="0.75" right="0.75" top="1" bottom="1" header="0.5" footer="0.5"/>
  <pageSetup orientation="landscape" horizontalDpi="4294967295" verticalDpi="429496729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zoomScale="150" zoomScaleNormal="150" zoomScalePageLayoutView="150" workbookViewId="0">
      <selection activeCell="G9" sqref="G9"/>
    </sheetView>
  </sheetViews>
  <sheetFormatPr baseColWidth="10" defaultColWidth="8.83203125" defaultRowHeight="13" x14ac:dyDescent="0.15"/>
  <cols>
    <col min="1" max="1" width="8.83203125" style="8" customWidth="1"/>
    <col min="2" max="2" width="5.83203125" style="8" customWidth="1"/>
    <col min="3" max="3" width="7.1640625" style="8" bestFit="1" customWidth="1"/>
    <col min="4" max="4" width="6.6640625" style="8" customWidth="1"/>
    <col min="5" max="5" width="5.5" style="8" customWidth="1"/>
    <col min="6" max="6" width="7.1640625" style="8" bestFit="1" customWidth="1"/>
    <col min="7" max="7" width="7.5" style="8" customWidth="1"/>
    <col min="8" max="8" width="6" style="8" customWidth="1"/>
    <col min="9" max="9" width="7.1640625" style="8" bestFit="1" customWidth="1"/>
    <col min="10" max="10" width="6.6640625" style="8" bestFit="1" customWidth="1"/>
    <col min="11" max="11" width="1.1640625" style="8" customWidth="1"/>
    <col min="12" max="12" width="7.1640625" style="8" bestFit="1" customWidth="1"/>
    <col min="13" max="13" width="6.6640625" style="8" bestFit="1" customWidth="1"/>
    <col min="14" max="14" width="1.83203125" style="8" customWidth="1"/>
    <col min="15" max="15" width="7.1640625" style="8" bestFit="1" customWidth="1"/>
    <col min="16" max="16" width="6.6640625" style="8" bestFit="1" customWidth="1"/>
    <col min="17" max="17" width="8.83203125" style="8" customWidth="1"/>
    <col min="18" max="18" width="9" style="8" customWidth="1"/>
    <col min="19" max="16384" width="8.83203125" style="8"/>
  </cols>
  <sheetData>
    <row r="1" spans="1:10" x14ac:dyDescent="0.15">
      <c r="A1" s="8" t="s">
        <v>56</v>
      </c>
    </row>
    <row r="2" spans="1:10" x14ac:dyDescent="0.15">
      <c r="A2" s="8" t="s">
        <v>57</v>
      </c>
    </row>
    <row r="3" spans="1:10" x14ac:dyDescent="0.15">
      <c r="A3" s="8" t="s">
        <v>58</v>
      </c>
    </row>
    <row r="4" spans="1:10" x14ac:dyDescent="0.15">
      <c r="A4" s="8" t="s">
        <v>59</v>
      </c>
    </row>
    <row r="6" spans="1:10" x14ac:dyDescent="0.15">
      <c r="D6" s="8" t="s">
        <v>60</v>
      </c>
      <c r="G6" s="8" t="s">
        <v>61</v>
      </c>
      <c r="J6" s="8" t="s">
        <v>62</v>
      </c>
    </row>
    <row r="7" spans="1:10" x14ac:dyDescent="0.15">
      <c r="A7" s="8" t="s">
        <v>63</v>
      </c>
      <c r="B7" s="8" t="s">
        <v>64</v>
      </c>
      <c r="D7" s="8" t="s">
        <v>65</v>
      </c>
      <c r="E7" s="8" t="s">
        <v>66</v>
      </c>
      <c r="G7" s="8" t="s">
        <v>67</v>
      </c>
      <c r="H7" s="8" t="s">
        <v>66</v>
      </c>
      <c r="J7" s="8" t="s">
        <v>68</v>
      </c>
    </row>
    <row r="8" spans="1:10" x14ac:dyDescent="0.15">
      <c r="A8" s="8" t="s">
        <v>69</v>
      </c>
      <c r="B8" s="9">
        <f>Sheet1!B5</f>
        <v>40</v>
      </c>
      <c r="C8" s="10"/>
      <c r="D8" s="9">
        <f>4.9643-0.1871*B8+0.0061*(B8^2)</f>
        <v>7.2402999999999995</v>
      </c>
      <c r="E8" s="9">
        <f>0.3+0.565*B8+0.0025*B8^2</f>
        <v>26.9</v>
      </c>
      <c r="G8" s="11">
        <f>0.0114*B8^2-0.3762*B8+6.0191</f>
        <v>9.2111000000000036</v>
      </c>
      <c r="H8" s="11">
        <f>1.15*B8-7.5667</f>
        <v>38.433300000000003</v>
      </c>
    </row>
    <row r="9" spans="1:10" x14ac:dyDescent="0.15">
      <c r="A9" s="8" t="s">
        <v>70</v>
      </c>
      <c r="B9" s="9">
        <f>Sheet1!B5</f>
        <v>40</v>
      </c>
      <c r="D9" s="9">
        <f>10.264-0.4196*B9+0.0073*(B9^2)</f>
        <v>5.16</v>
      </c>
      <c r="E9" s="9">
        <f>2.95+0.3075*B9+0.0037*B9^2</f>
        <v>21.17</v>
      </c>
      <c r="G9" s="11">
        <f>0.000222*B9^3-0.0226*B9^2+0.9563*B9-10.99</f>
        <v>5.3100000000000041</v>
      </c>
      <c r="H9" s="11">
        <f>0.86*B9-11.733</f>
        <v>22.666999999999998</v>
      </c>
    </row>
    <row r="11" spans="1:10" x14ac:dyDescent="0.15">
      <c r="A11" s="8" t="s">
        <v>71</v>
      </c>
    </row>
    <row r="12" spans="1:10" x14ac:dyDescent="0.15">
      <c r="A12" s="8" t="s">
        <v>72</v>
      </c>
    </row>
    <row r="13" spans="1:10" x14ac:dyDescent="0.15">
      <c r="A13" s="8" t="s">
        <v>73</v>
      </c>
    </row>
    <row r="14" spans="1:10" x14ac:dyDescent="0.15">
      <c r="A14" s="8" t="s">
        <v>74</v>
      </c>
    </row>
    <row r="16" spans="1:10" x14ac:dyDescent="0.15">
      <c r="H16" s="8" t="s">
        <v>75</v>
      </c>
    </row>
    <row r="17" spans="1:16" x14ac:dyDescent="0.15">
      <c r="A17" s="8" t="s">
        <v>76</v>
      </c>
      <c r="C17" s="8" t="s">
        <v>77</v>
      </c>
      <c r="F17" s="8" t="s">
        <v>78</v>
      </c>
      <c r="I17" s="8" t="s">
        <v>79</v>
      </c>
      <c r="L17" s="8" t="s">
        <v>80</v>
      </c>
      <c r="O17" s="8" t="s">
        <v>81</v>
      </c>
    </row>
    <row r="18" spans="1:16" x14ac:dyDescent="0.15">
      <c r="C18" s="8" t="s">
        <v>65</v>
      </c>
      <c r="D18" s="8" t="s">
        <v>66</v>
      </c>
      <c r="F18" s="8" t="s">
        <v>65</v>
      </c>
      <c r="G18" s="8" t="s">
        <v>66</v>
      </c>
      <c r="I18" s="8" t="s">
        <v>65</v>
      </c>
      <c r="J18" s="8" t="s">
        <v>66</v>
      </c>
      <c r="L18" s="8" t="s">
        <v>65</v>
      </c>
      <c r="M18" s="8" t="s">
        <v>66</v>
      </c>
      <c r="O18" s="8" t="s">
        <v>65</v>
      </c>
      <c r="P18" s="8" t="s">
        <v>66</v>
      </c>
    </row>
    <row r="19" spans="1:16" x14ac:dyDescent="0.15">
      <c r="A19" s="8" t="s">
        <v>82</v>
      </c>
    </row>
    <row r="20" spans="1:16" x14ac:dyDescent="0.15">
      <c r="A20" s="12">
        <v>0.5</v>
      </c>
      <c r="C20" s="13">
        <v>7</v>
      </c>
      <c r="D20" s="13">
        <v>20</v>
      </c>
      <c r="E20" s="12"/>
      <c r="F20" s="13">
        <v>8</v>
      </c>
      <c r="G20" s="13">
        <v>22</v>
      </c>
      <c r="H20" s="12"/>
      <c r="I20" s="13">
        <v>10</v>
      </c>
      <c r="J20" s="13">
        <v>24</v>
      </c>
      <c r="K20" s="12"/>
      <c r="L20" s="13">
        <v>11</v>
      </c>
      <c r="M20" s="13">
        <v>29</v>
      </c>
      <c r="N20" s="12"/>
      <c r="O20" s="13">
        <v>15</v>
      </c>
      <c r="P20" s="13">
        <v>35</v>
      </c>
    </row>
    <row r="21" spans="1:16" x14ac:dyDescent="0.15">
      <c r="A21" s="12">
        <v>1</v>
      </c>
      <c r="C21" s="14">
        <v>4</v>
      </c>
      <c r="D21" s="14">
        <v>17</v>
      </c>
      <c r="E21" s="12"/>
      <c r="F21" s="14">
        <v>6</v>
      </c>
      <c r="G21" s="14">
        <v>21</v>
      </c>
      <c r="H21" s="12"/>
      <c r="I21" s="14">
        <v>9</v>
      </c>
      <c r="J21" s="14">
        <v>24</v>
      </c>
      <c r="K21" s="12"/>
      <c r="L21" s="14">
        <v>11</v>
      </c>
      <c r="M21" s="14">
        <v>32</v>
      </c>
      <c r="N21" s="12"/>
      <c r="O21" s="14">
        <v>14</v>
      </c>
      <c r="P21" s="14">
        <v>39</v>
      </c>
    </row>
    <row r="22" spans="1:16" x14ac:dyDescent="0.15">
      <c r="A22" s="12">
        <v>2</v>
      </c>
      <c r="C22" s="14">
        <v>4</v>
      </c>
      <c r="D22" s="14">
        <v>19</v>
      </c>
      <c r="E22" s="12"/>
      <c r="F22" s="14">
        <v>6</v>
      </c>
      <c r="G22" s="14">
        <v>24</v>
      </c>
      <c r="H22" s="12"/>
      <c r="I22" s="14">
        <v>10</v>
      </c>
      <c r="J22" s="14">
        <v>34</v>
      </c>
      <c r="K22" s="12"/>
      <c r="L22" s="14">
        <v>14</v>
      </c>
      <c r="M22" s="14">
        <v>50</v>
      </c>
      <c r="N22" s="12"/>
      <c r="O22" s="14">
        <v>21</v>
      </c>
      <c r="P22" s="14">
        <v>61</v>
      </c>
    </row>
    <row r="23" spans="1:16" x14ac:dyDescent="0.15">
      <c r="A23" s="12">
        <v>3</v>
      </c>
      <c r="C23" s="14">
        <v>4</v>
      </c>
      <c r="D23" s="14">
        <v>23</v>
      </c>
      <c r="E23" s="12"/>
      <c r="F23" s="14">
        <v>9</v>
      </c>
      <c r="G23" s="14">
        <v>39</v>
      </c>
      <c r="H23" s="12"/>
      <c r="I23" s="14">
        <v>15</v>
      </c>
      <c r="J23" s="14">
        <v>56</v>
      </c>
      <c r="K23" s="12"/>
      <c r="L23" s="14">
        <v>25</v>
      </c>
      <c r="M23" s="14">
        <v>65</v>
      </c>
      <c r="N23" s="12"/>
      <c r="O23" s="14">
        <v>37</v>
      </c>
      <c r="P23" s="14">
        <v>72</v>
      </c>
    </row>
    <row r="24" spans="1:16" x14ac:dyDescent="0.15">
      <c r="A24" s="12">
        <v>4</v>
      </c>
      <c r="C24" s="14">
        <v>7</v>
      </c>
      <c r="D24" s="14">
        <v>34</v>
      </c>
      <c r="E24" s="12"/>
      <c r="F24" s="14">
        <v>13</v>
      </c>
      <c r="G24" s="14">
        <v>53</v>
      </c>
      <c r="H24" s="12"/>
      <c r="I24" s="14">
        <v>22</v>
      </c>
      <c r="J24" s="14">
        <v>67</v>
      </c>
      <c r="K24" s="12"/>
      <c r="L24" s="14">
        <v>35</v>
      </c>
      <c r="M24" s="14">
        <v>72</v>
      </c>
      <c r="N24" s="12"/>
      <c r="O24" s="14">
        <v>49</v>
      </c>
      <c r="P24" s="14">
        <v>80</v>
      </c>
    </row>
    <row r="25" spans="1:16" x14ac:dyDescent="0.15">
      <c r="A25" s="12">
        <v>6</v>
      </c>
      <c r="C25" s="14">
        <v>11</v>
      </c>
      <c r="D25" s="14">
        <v>34</v>
      </c>
      <c r="E25" s="12"/>
      <c r="F25" s="14">
        <v>17</v>
      </c>
      <c r="G25" s="14">
        <v>57</v>
      </c>
      <c r="H25" s="12"/>
      <c r="I25" s="14">
        <v>25</v>
      </c>
      <c r="J25" s="14">
        <v>75</v>
      </c>
      <c r="K25" s="12"/>
      <c r="L25" s="14">
        <v>40</v>
      </c>
      <c r="M25" s="14">
        <v>79</v>
      </c>
      <c r="N25" s="12"/>
      <c r="O25" s="14">
        <v>56</v>
      </c>
      <c r="P25" s="14">
        <v>93</v>
      </c>
    </row>
    <row r="26" spans="1:16" x14ac:dyDescent="0.15">
      <c r="A26" s="12">
        <v>8</v>
      </c>
      <c r="C26" s="14">
        <v>8</v>
      </c>
      <c r="D26" s="14">
        <v>30</v>
      </c>
      <c r="E26" s="12"/>
      <c r="F26" s="14">
        <v>14</v>
      </c>
      <c r="G26" s="14">
        <v>57</v>
      </c>
      <c r="H26" s="12"/>
      <c r="I26" s="14">
        <v>23</v>
      </c>
      <c r="J26" s="14">
        <v>74</v>
      </c>
      <c r="K26" s="12"/>
      <c r="L26" s="14">
        <v>42</v>
      </c>
      <c r="M26" s="14">
        <v>84</v>
      </c>
      <c r="N26" s="12"/>
      <c r="O26" s="14">
        <v>60</v>
      </c>
      <c r="P26" s="14">
        <v>93</v>
      </c>
    </row>
    <row r="27" spans="1:16" x14ac:dyDescent="0.15">
      <c r="C27" s="15"/>
      <c r="D27" s="15"/>
      <c r="E27" s="12"/>
      <c r="F27" s="15"/>
      <c r="G27" s="15"/>
      <c r="H27" s="12"/>
      <c r="I27" s="15"/>
      <c r="J27" s="15"/>
      <c r="K27" s="12"/>
      <c r="L27" s="15"/>
      <c r="M27" s="15"/>
      <c r="N27" s="12"/>
      <c r="O27" s="12"/>
      <c r="P27" s="12"/>
    </row>
    <row r="28" spans="1:16" x14ac:dyDescent="0.15">
      <c r="A28" s="8" t="s">
        <v>83</v>
      </c>
      <c r="C28" s="12"/>
      <c r="D28" s="12"/>
      <c r="E28" s="12"/>
      <c r="F28" s="12"/>
      <c r="G28" s="12"/>
      <c r="H28" s="12"/>
      <c r="I28" s="12"/>
      <c r="J28" s="16"/>
      <c r="K28" s="12"/>
      <c r="L28" s="12"/>
      <c r="M28" s="12"/>
      <c r="N28" s="12"/>
      <c r="O28" s="12"/>
      <c r="P28" s="12"/>
    </row>
    <row r="29" spans="1:16" x14ac:dyDescent="0.15">
      <c r="A29" s="8">
        <v>0.5</v>
      </c>
      <c r="C29" s="13">
        <v>7</v>
      </c>
      <c r="D29" s="13">
        <v>20</v>
      </c>
      <c r="E29" s="12"/>
      <c r="F29" s="13">
        <v>7</v>
      </c>
      <c r="G29" s="13">
        <v>24</v>
      </c>
      <c r="H29" s="12"/>
      <c r="I29" s="13">
        <v>9</v>
      </c>
      <c r="J29" s="13">
        <v>26</v>
      </c>
      <c r="K29" s="12"/>
      <c r="L29" s="13">
        <v>13</v>
      </c>
      <c r="M29" s="13">
        <v>35</v>
      </c>
      <c r="N29" s="12"/>
      <c r="O29" s="13">
        <v>17</v>
      </c>
      <c r="P29" s="13">
        <v>44</v>
      </c>
    </row>
    <row r="30" spans="1:16" x14ac:dyDescent="0.15">
      <c r="A30" s="8">
        <v>1</v>
      </c>
      <c r="C30" s="14">
        <v>4</v>
      </c>
      <c r="D30" s="14">
        <v>15</v>
      </c>
      <c r="E30" s="12"/>
      <c r="F30" s="14">
        <v>5</v>
      </c>
      <c r="G30" s="14">
        <v>20</v>
      </c>
      <c r="H30" s="12"/>
      <c r="I30" s="14">
        <v>7</v>
      </c>
      <c r="J30" s="14">
        <v>23</v>
      </c>
      <c r="K30" s="12"/>
      <c r="L30" s="14">
        <v>10</v>
      </c>
      <c r="M30" s="14">
        <v>34</v>
      </c>
      <c r="N30" s="12"/>
      <c r="O30" s="14">
        <v>13</v>
      </c>
      <c r="P30" s="14">
        <v>37</v>
      </c>
    </row>
    <row r="31" spans="1:16" x14ac:dyDescent="0.15">
      <c r="A31" s="8">
        <v>2</v>
      </c>
      <c r="C31" s="14">
        <v>4</v>
      </c>
      <c r="D31" s="14">
        <v>14</v>
      </c>
      <c r="E31" s="12"/>
      <c r="F31" s="14">
        <v>5</v>
      </c>
      <c r="G31" s="14">
        <v>21</v>
      </c>
      <c r="H31" s="12"/>
      <c r="I31" s="14">
        <v>7</v>
      </c>
      <c r="J31" s="14">
        <v>27</v>
      </c>
      <c r="K31" s="12"/>
      <c r="L31" s="14">
        <v>11</v>
      </c>
      <c r="M31" s="14">
        <v>37</v>
      </c>
      <c r="N31" s="12"/>
      <c r="O31" s="14">
        <v>17</v>
      </c>
      <c r="P31" s="14">
        <v>40</v>
      </c>
    </row>
    <row r="32" spans="1:16" x14ac:dyDescent="0.15">
      <c r="A32" s="8">
        <v>3</v>
      </c>
      <c r="C32" s="14">
        <v>2</v>
      </c>
      <c r="D32" s="14">
        <v>14</v>
      </c>
      <c r="E32" s="12"/>
      <c r="F32" s="14">
        <v>4</v>
      </c>
      <c r="G32" s="14">
        <v>21</v>
      </c>
      <c r="H32" s="12"/>
      <c r="I32" s="14">
        <v>7</v>
      </c>
      <c r="J32" s="14">
        <v>27</v>
      </c>
      <c r="K32" s="12"/>
      <c r="L32" s="14">
        <v>12</v>
      </c>
      <c r="M32" s="14">
        <v>43</v>
      </c>
      <c r="N32" s="12"/>
      <c r="O32" s="14">
        <v>20</v>
      </c>
      <c r="P32" s="14">
        <v>47</v>
      </c>
    </row>
    <row r="33" spans="1:16" x14ac:dyDescent="0.15">
      <c r="A33" s="8">
        <v>4</v>
      </c>
      <c r="C33" s="14">
        <v>4</v>
      </c>
      <c r="D33" s="14">
        <v>16</v>
      </c>
      <c r="E33" s="12"/>
      <c r="F33" s="14">
        <v>7</v>
      </c>
      <c r="G33" s="14">
        <v>25</v>
      </c>
      <c r="H33" s="12"/>
      <c r="I33" s="14">
        <v>10</v>
      </c>
      <c r="J33" s="14">
        <v>32</v>
      </c>
      <c r="K33" s="12"/>
      <c r="L33" s="14">
        <v>16</v>
      </c>
      <c r="M33" s="14">
        <v>51</v>
      </c>
      <c r="N33" s="12"/>
      <c r="O33" s="14">
        <v>27</v>
      </c>
      <c r="P33" s="14">
        <v>54</v>
      </c>
    </row>
    <row r="34" spans="1:16" x14ac:dyDescent="0.15">
      <c r="A34" s="8">
        <v>6</v>
      </c>
      <c r="C34" s="14">
        <v>10</v>
      </c>
      <c r="D34" s="14">
        <v>26</v>
      </c>
      <c r="E34" s="12"/>
      <c r="F34" s="14">
        <v>12</v>
      </c>
      <c r="G34" s="14">
        <v>31</v>
      </c>
      <c r="H34" s="12"/>
      <c r="I34" s="14">
        <v>17</v>
      </c>
      <c r="J34" s="14">
        <v>40</v>
      </c>
      <c r="K34" s="12"/>
      <c r="L34" s="14">
        <v>24</v>
      </c>
      <c r="M34" s="14">
        <v>58</v>
      </c>
      <c r="N34" s="12"/>
      <c r="O34" s="14">
        <v>37</v>
      </c>
      <c r="P34" s="14">
        <v>66</v>
      </c>
    </row>
    <row r="35" spans="1:16" x14ac:dyDescent="0.15">
      <c r="A35" s="8">
        <v>8</v>
      </c>
      <c r="C35" s="14">
        <v>7</v>
      </c>
      <c r="D35" s="14">
        <v>22</v>
      </c>
      <c r="E35" s="12"/>
      <c r="F35" s="14">
        <v>10</v>
      </c>
      <c r="G35" s="14">
        <v>31</v>
      </c>
      <c r="H35" s="12"/>
      <c r="I35" s="14">
        <v>16</v>
      </c>
      <c r="J35" s="14">
        <v>48</v>
      </c>
      <c r="K35" s="12"/>
      <c r="L35" s="14">
        <v>26</v>
      </c>
      <c r="M35" s="14">
        <v>66</v>
      </c>
      <c r="N35" s="12"/>
      <c r="O35" s="14">
        <v>48</v>
      </c>
      <c r="P35" s="14">
        <v>81</v>
      </c>
    </row>
    <row r="37" spans="1:16" x14ac:dyDescent="0.15">
      <c r="A37" s="8" t="s">
        <v>84</v>
      </c>
    </row>
    <row r="38" spans="1:16" x14ac:dyDescent="0.15">
      <c r="A38" s="8" t="s">
        <v>69</v>
      </c>
      <c r="C38" s="8">
        <f>(C20+C21+C22+C23)/4</f>
        <v>4.75</v>
      </c>
      <c r="D38" s="8">
        <f t="shared" ref="D38:M38" si="0">(D20+D21+D22+D23)/4</f>
        <v>19.75</v>
      </c>
      <c r="F38" s="8">
        <f t="shared" si="0"/>
        <v>7.25</v>
      </c>
      <c r="G38" s="8">
        <f t="shared" si="0"/>
        <v>26.5</v>
      </c>
      <c r="I38" s="8">
        <f t="shared" si="0"/>
        <v>11</v>
      </c>
      <c r="J38" s="8">
        <f t="shared" si="0"/>
        <v>34.5</v>
      </c>
      <c r="L38" s="8">
        <f t="shared" si="0"/>
        <v>15.25</v>
      </c>
      <c r="M38" s="8">
        <f t="shared" si="0"/>
        <v>44</v>
      </c>
      <c r="O38" s="8">
        <f>(O20+O21+O22+O23)/4</f>
        <v>21.75</v>
      </c>
      <c r="P38" s="8">
        <f>(P20+P21+P22+P23)/4</f>
        <v>51.75</v>
      </c>
    </row>
    <row r="39" spans="1:16" x14ac:dyDescent="0.15">
      <c r="A39" s="8" t="s">
        <v>70</v>
      </c>
      <c r="C39" s="8">
        <f>(C29+C30+C31+C32)/4</f>
        <v>4.25</v>
      </c>
      <c r="D39" s="8">
        <f t="shared" ref="D39:M39" si="1">(D29+D30+D31+D32)/4</f>
        <v>15.75</v>
      </c>
      <c r="F39" s="8">
        <f t="shared" si="1"/>
        <v>5.25</v>
      </c>
      <c r="G39" s="8">
        <f t="shared" si="1"/>
        <v>21.5</v>
      </c>
      <c r="I39" s="8">
        <f t="shared" si="1"/>
        <v>7.5</v>
      </c>
      <c r="J39" s="8">
        <f t="shared" si="1"/>
        <v>25.75</v>
      </c>
      <c r="L39" s="8">
        <f t="shared" si="1"/>
        <v>11.5</v>
      </c>
      <c r="M39" s="8">
        <f t="shared" si="1"/>
        <v>37.25</v>
      </c>
      <c r="O39" s="8">
        <f>(O29+O30+O31+O32)/4</f>
        <v>16.75</v>
      </c>
      <c r="P39" s="8">
        <f>(P29+P30+P31+P32)/4</f>
        <v>42</v>
      </c>
    </row>
    <row r="41" spans="1:16" x14ac:dyDescent="0.15">
      <c r="A41" s="8" t="s">
        <v>85</v>
      </c>
    </row>
    <row r="42" spans="1:16" x14ac:dyDescent="0.15">
      <c r="A42" s="8" t="s">
        <v>69</v>
      </c>
      <c r="C42" s="17">
        <f>AVERAGE(C22:C24)</f>
        <v>5</v>
      </c>
      <c r="D42" s="17">
        <f t="shared" ref="D42:P42" si="2">AVERAGE(D22:D24)</f>
        <v>25.333333333333332</v>
      </c>
      <c r="E42" s="17"/>
      <c r="F42" s="17">
        <f t="shared" si="2"/>
        <v>9.3333333333333339</v>
      </c>
      <c r="G42" s="17">
        <f t="shared" si="2"/>
        <v>38.666666666666664</v>
      </c>
      <c r="H42" s="17"/>
      <c r="I42" s="17">
        <f t="shared" si="2"/>
        <v>15.666666666666666</v>
      </c>
      <c r="J42" s="17">
        <f t="shared" si="2"/>
        <v>52.333333333333336</v>
      </c>
      <c r="L42" s="17">
        <f t="shared" si="2"/>
        <v>24.666666666666668</v>
      </c>
      <c r="M42" s="17">
        <f t="shared" si="2"/>
        <v>62.333333333333336</v>
      </c>
      <c r="O42" s="17">
        <f t="shared" si="2"/>
        <v>35.666666666666664</v>
      </c>
      <c r="P42" s="17">
        <f t="shared" si="2"/>
        <v>71</v>
      </c>
    </row>
    <row r="43" spans="1:16" x14ac:dyDescent="0.15">
      <c r="A43" s="8" t="s">
        <v>70</v>
      </c>
      <c r="C43" s="17">
        <f>AVERAGE(C31:C33)</f>
        <v>3.3333333333333335</v>
      </c>
      <c r="D43" s="17">
        <f t="shared" ref="D43:P43" si="3">AVERAGE(D31:D33)</f>
        <v>14.666666666666666</v>
      </c>
      <c r="E43" s="17"/>
      <c r="F43" s="17">
        <f t="shared" si="3"/>
        <v>5.333333333333333</v>
      </c>
      <c r="G43" s="17">
        <f t="shared" si="3"/>
        <v>22.333333333333332</v>
      </c>
      <c r="H43" s="17"/>
      <c r="I43" s="17">
        <f t="shared" si="3"/>
        <v>8</v>
      </c>
      <c r="J43" s="17">
        <f t="shared" si="3"/>
        <v>28.666666666666668</v>
      </c>
      <c r="L43" s="17">
        <f t="shared" si="3"/>
        <v>13</v>
      </c>
      <c r="M43" s="17">
        <f t="shared" si="3"/>
        <v>43.666666666666664</v>
      </c>
      <c r="O43" s="17">
        <f t="shared" si="3"/>
        <v>21.333333333333332</v>
      </c>
      <c r="P43" s="17">
        <f t="shared" si="3"/>
        <v>47</v>
      </c>
    </row>
  </sheetData>
  <sheetProtection sheet="1" objects="1" scenarios="1"/>
  <pageMargins left="0.75" right="0.75" top="1" bottom="1" header="0.5" footer="0.5"/>
  <pageSetup orientation="landscape" horizontalDpi="4294967295" verticalDpi="429496729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Q14"/>
  <sheetViews>
    <sheetView tabSelected="1" topLeftCell="A11" zoomScale="125" zoomScaleNormal="125" zoomScalePageLayoutView="125" workbookViewId="0">
      <selection activeCell="H44" sqref="H44"/>
    </sheetView>
  </sheetViews>
  <sheetFormatPr baseColWidth="10" defaultRowHeight="13" x14ac:dyDescent="0.15"/>
  <cols>
    <col min="1" max="1" width="10.83203125" style="8"/>
    <col min="2" max="2" width="2" style="8" customWidth="1"/>
    <col min="3" max="8" width="10.83203125" style="8"/>
    <col min="9" max="9" width="2.83203125" style="8" customWidth="1"/>
    <col min="10" max="10" width="10.83203125" style="8"/>
    <col min="11" max="11" width="2.33203125" style="8" customWidth="1"/>
    <col min="12" max="16384" width="10.83203125" style="8"/>
  </cols>
  <sheetData>
    <row r="3" spans="1:17" x14ac:dyDescent="0.15">
      <c r="A3" s="8" t="s">
        <v>120</v>
      </c>
      <c r="J3" s="8" t="s">
        <v>121</v>
      </c>
    </row>
    <row r="5" spans="1:17" x14ac:dyDescent="0.15">
      <c r="C5" s="8" t="s">
        <v>75</v>
      </c>
      <c r="L5" s="8" t="s">
        <v>75</v>
      </c>
    </row>
    <row r="6" spans="1:17" x14ac:dyDescent="0.15">
      <c r="C6" s="8">
        <v>30</v>
      </c>
      <c r="D6" s="8">
        <v>40</v>
      </c>
      <c r="E6" s="8">
        <v>50</v>
      </c>
      <c r="F6" s="8">
        <v>60</v>
      </c>
      <c r="G6" s="8">
        <v>70</v>
      </c>
      <c r="L6" s="8">
        <v>30</v>
      </c>
      <c r="M6" s="8">
        <v>40</v>
      </c>
      <c r="N6" s="8">
        <v>50</v>
      </c>
      <c r="O6" s="8">
        <v>60</v>
      </c>
      <c r="P6" s="8">
        <v>70</v>
      </c>
    </row>
    <row r="7" spans="1:17" x14ac:dyDescent="0.15">
      <c r="A7" s="8" t="s">
        <v>84</v>
      </c>
      <c r="J7" s="8" t="s">
        <v>85</v>
      </c>
    </row>
    <row r="8" spans="1:17" x14ac:dyDescent="0.15">
      <c r="A8" s="8" t="s">
        <v>69</v>
      </c>
      <c r="C8" s="8">
        <v>4.75</v>
      </c>
      <c r="D8" s="8">
        <v>7.25</v>
      </c>
      <c r="E8" s="8">
        <v>11</v>
      </c>
      <c r="F8" s="8">
        <v>15.25</v>
      </c>
      <c r="G8" s="8">
        <v>21.75</v>
      </c>
      <c r="H8" s="8" t="s">
        <v>122</v>
      </c>
      <c r="J8" s="8" t="s">
        <v>69</v>
      </c>
      <c r="L8" s="17">
        <v>5</v>
      </c>
      <c r="M8" s="17">
        <v>9.3333300000000001</v>
      </c>
      <c r="N8" s="17">
        <v>15.66666</v>
      </c>
      <c r="O8" s="17">
        <v>24.66666</v>
      </c>
      <c r="P8" s="17">
        <v>35.66666</v>
      </c>
      <c r="Q8" s="8" t="s">
        <v>122</v>
      </c>
    </row>
    <row r="9" spans="1:17" x14ac:dyDescent="0.15">
      <c r="A9" s="8" t="s">
        <v>70</v>
      </c>
      <c r="C9" s="8">
        <v>4.25</v>
      </c>
      <c r="D9" s="8">
        <v>5.25</v>
      </c>
      <c r="E9" s="8">
        <v>7.5</v>
      </c>
      <c r="F9" s="8">
        <v>11.5</v>
      </c>
      <c r="G9" s="8">
        <v>16.75</v>
      </c>
      <c r="H9" s="8" t="s">
        <v>122</v>
      </c>
      <c r="J9" s="8" t="s">
        <v>70</v>
      </c>
      <c r="L9" s="17">
        <v>3.3333300000000001</v>
      </c>
      <c r="M9" s="17">
        <v>5.3333300000000001</v>
      </c>
      <c r="N9" s="17">
        <v>8</v>
      </c>
      <c r="O9" s="17">
        <v>13</v>
      </c>
      <c r="P9" s="17">
        <v>21.33333</v>
      </c>
      <c r="Q9" s="8" t="s">
        <v>122</v>
      </c>
    </row>
    <row r="10" spans="1:17" x14ac:dyDescent="0.15">
      <c r="L10" s="17"/>
      <c r="M10" s="17"/>
      <c r="N10" s="17"/>
      <c r="O10" s="17"/>
      <c r="P10" s="17"/>
    </row>
    <row r="11" spans="1:17" x14ac:dyDescent="0.15">
      <c r="A11" s="8" t="s">
        <v>123</v>
      </c>
      <c r="C11" s="8">
        <v>19.75</v>
      </c>
      <c r="D11" s="8">
        <v>26.5</v>
      </c>
      <c r="E11" s="8">
        <v>34.5</v>
      </c>
      <c r="F11" s="8">
        <v>44</v>
      </c>
      <c r="G11" s="8">
        <v>51.75</v>
      </c>
      <c r="H11" s="8" t="s">
        <v>66</v>
      </c>
      <c r="J11" s="8" t="s">
        <v>123</v>
      </c>
      <c r="L11" s="17">
        <v>25.33333</v>
      </c>
      <c r="M11" s="17">
        <v>38.66666</v>
      </c>
      <c r="N11" s="17">
        <v>52.333329999999997</v>
      </c>
      <c r="O11" s="17">
        <v>62.333329999999997</v>
      </c>
      <c r="P11" s="17">
        <v>71</v>
      </c>
      <c r="Q11" s="8" t="s">
        <v>66</v>
      </c>
    </row>
    <row r="12" spans="1:17" x14ac:dyDescent="0.15">
      <c r="A12" s="8" t="s">
        <v>70</v>
      </c>
      <c r="C12" s="8">
        <v>15.75</v>
      </c>
      <c r="D12" s="8">
        <v>21.5</v>
      </c>
      <c r="E12" s="8">
        <v>25.75</v>
      </c>
      <c r="F12" s="8">
        <v>37.25</v>
      </c>
      <c r="G12" s="8">
        <v>42</v>
      </c>
      <c r="H12" s="8" t="s">
        <v>66</v>
      </c>
      <c r="J12" s="8" t="s">
        <v>70</v>
      </c>
      <c r="L12" s="17">
        <v>14.66666</v>
      </c>
      <c r="M12" s="17">
        <v>22.33333</v>
      </c>
      <c r="N12" s="17">
        <v>28.66666</v>
      </c>
      <c r="O12" s="17">
        <v>43.66666</v>
      </c>
      <c r="P12" s="17">
        <v>47</v>
      </c>
      <c r="Q12" s="8" t="s">
        <v>66</v>
      </c>
    </row>
    <row r="14" spans="1:17" x14ac:dyDescent="0.15">
      <c r="A14" s="8" t="s">
        <v>124</v>
      </c>
    </row>
  </sheetData>
  <sheetProtection sheet="1" objects="1" scenarios="1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NIPTS (final)</vt:lpstr>
      <vt:lpstr>NIPTS (initial)</vt:lpstr>
      <vt:lpstr>ARHL (final)</vt:lpstr>
      <vt:lpstr>ARHL (initial)</vt:lpstr>
      <vt:lpstr>ARHL2</vt:lpstr>
    </vt:vector>
  </TitlesOfParts>
  <Company>UC-Davis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Dobie</dc:creator>
  <cp:lastModifiedBy>Microsoft Office User</cp:lastModifiedBy>
  <dcterms:created xsi:type="dcterms:W3CDTF">2014-06-25T21:59:20Z</dcterms:created>
  <dcterms:modified xsi:type="dcterms:W3CDTF">2019-11-21T21:53:46Z</dcterms:modified>
</cp:coreProperties>
</file>